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30" windowWidth="15075" windowHeight="7710"/>
  </bookViews>
  <sheets>
    <sheet name="30 กันยายน 2558(ใหม่)" sheetId="3" r:id="rId1"/>
    <sheet name="15 มิถุนายน 2559(ใหม่)" sheetId="4" r:id="rId2"/>
    <sheet name="Sheet1" sheetId="6" r:id="rId3"/>
    <sheet name="Sheet2" sheetId="7" r:id="rId4"/>
  </sheets>
  <definedNames>
    <definedName name="_xlnm.Print_Area" localSheetId="1">'15 มิถุนายน 2559(ใหม่)'!$A$1:$X$52</definedName>
    <definedName name="_xlnm.Print_Area" localSheetId="0">'30 กันยายน 2558(ใหม่)'!$A$1:$W$53</definedName>
  </definedNames>
  <calcPr calcId="124519"/>
</workbook>
</file>

<file path=xl/calcChain.xml><?xml version="1.0" encoding="utf-8"?>
<calcChain xmlns="http://schemas.openxmlformats.org/spreadsheetml/2006/main">
  <c r="W7" i="3"/>
  <c r="W33"/>
  <c r="X15" i="4"/>
  <c r="X24"/>
  <c r="X23"/>
  <c r="X22"/>
  <c r="X21"/>
  <c r="X20"/>
  <c r="X19"/>
  <c r="X18"/>
  <c r="X17"/>
  <c r="X16"/>
  <c r="X14"/>
  <c r="X13"/>
  <c r="X12"/>
  <c r="X11"/>
  <c r="X10"/>
  <c r="X9"/>
  <c r="X8"/>
  <c r="X7"/>
  <c r="X25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52"/>
  <c r="O33"/>
  <c r="P33"/>
  <c r="Q33"/>
  <c r="T33"/>
  <c r="U33"/>
  <c r="Q35"/>
  <c r="S35"/>
  <c r="T35"/>
  <c r="Q36"/>
  <c r="P37"/>
  <c r="T37"/>
  <c r="O38"/>
  <c r="P38"/>
  <c r="Q38"/>
  <c r="T38"/>
  <c r="P39"/>
  <c r="Q39"/>
  <c r="P40"/>
  <c r="Q40"/>
  <c r="S40"/>
  <c r="O41"/>
  <c r="P41"/>
  <c r="T41"/>
  <c r="I47"/>
  <c r="T51"/>
  <c r="T50"/>
  <c r="R51"/>
  <c r="S50"/>
  <c r="T49"/>
  <c r="Q51"/>
  <c r="P51"/>
  <c r="Q50"/>
  <c r="U46"/>
  <c r="T47"/>
  <c r="T46"/>
  <c r="O50"/>
  <c r="U44"/>
  <c r="Q48"/>
  <c r="S46"/>
  <c r="U43"/>
  <c r="T44"/>
  <c r="Q47"/>
  <c r="T43"/>
  <c r="P47"/>
  <c r="Q46"/>
  <c r="O47"/>
  <c r="R44"/>
  <c r="O46"/>
  <c r="P45"/>
  <c r="J50"/>
  <c r="K49"/>
  <c r="L48"/>
  <c r="Q43"/>
  <c r="M46"/>
  <c r="P43"/>
  <c r="K48"/>
  <c r="G51"/>
  <c r="L46"/>
  <c r="K46"/>
  <c r="J47"/>
  <c r="G49"/>
  <c r="H48"/>
  <c r="J46"/>
  <c r="I46"/>
  <c r="H47"/>
  <c r="E50"/>
  <c r="H46"/>
  <c r="K43"/>
  <c r="G46"/>
  <c r="F46"/>
  <c r="H44"/>
  <c r="N38"/>
  <c r="G44"/>
  <c r="H43"/>
  <c r="K40"/>
  <c r="F44"/>
  <c r="G43"/>
  <c r="I41"/>
  <c r="L37"/>
  <c r="M35"/>
  <c r="H40"/>
  <c r="I39"/>
  <c r="N33"/>
  <c r="K36"/>
  <c r="F40"/>
  <c r="G39"/>
  <c r="J36"/>
  <c r="F39"/>
  <c r="H37"/>
  <c r="J33"/>
  <c r="I35"/>
  <c r="H33"/>
  <c r="G34"/>
  <c r="E35"/>
  <c r="F33"/>
  <c r="W52"/>
  <c r="V52"/>
  <c r="U52"/>
  <c r="S52"/>
  <c r="R52"/>
  <c r="Q52"/>
  <c r="P52"/>
  <c r="O52"/>
  <c r="N52"/>
  <c r="M52"/>
  <c r="L52"/>
  <c r="K52"/>
  <c r="J52"/>
  <c r="I52"/>
  <c r="H52"/>
  <c r="E52"/>
  <c r="D52"/>
  <c r="T52"/>
  <c r="V42" i="3"/>
  <c r="S51"/>
  <c r="U48"/>
  <c r="U47"/>
  <c r="R50"/>
  <c r="O52"/>
  <c r="P51"/>
  <c r="S48"/>
  <c r="P50"/>
  <c r="S47"/>
  <c r="U44"/>
  <c r="S46"/>
  <c r="R47"/>
  <c r="N50"/>
  <c r="S45"/>
  <c r="P48"/>
  <c r="S44"/>
  <c r="O48"/>
  <c r="P47"/>
  <c r="K51"/>
  <c r="N48"/>
  <c r="Q45"/>
  <c r="S42"/>
  <c r="R43"/>
  <c r="Q44"/>
  <c r="P45"/>
  <c r="U39"/>
  <c r="S41"/>
  <c r="L48"/>
  <c r="P44"/>
  <c r="Q42"/>
  <c r="P43"/>
  <c r="O44"/>
  <c r="I50"/>
  <c r="S39"/>
  <c r="K47"/>
  <c r="I48"/>
  <c r="K46"/>
  <c r="O42"/>
  <c r="M44"/>
  <c r="S38"/>
  <c r="E51"/>
  <c r="S37"/>
  <c r="H48"/>
  <c r="Q39"/>
  <c r="K45"/>
  <c r="G48"/>
  <c r="H47"/>
  <c r="P39"/>
  <c r="K44"/>
  <c r="L43"/>
  <c r="D51"/>
  <c r="T34"/>
  <c r="F48"/>
  <c r="G47"/>
  <c r="P38"/>
  <c r="O39"/>
  <c r="N39"/>
  <c r="O38"/>
  <c r="P37"/>
  <c r="S34"/>
  <c r="D48"/>
  <c r="E47"/>
  <c r="G45"/>
  <c r="W45" s="1"/>
  <c r="H44"/>
  <c r="M39"/>
  <c r="D47"/>
  <c r="G44"/>
  <c r="H43"/>
  <c r="H42"/>
  <c r="G43"/>
  <c r="P34"/>
  <c r="O34"/>
  <c r="G42"/>
  <c r="D44"/>
  <c r="L36"/>
  <c r="M34"/>
  <c r="I38"/>
  <c r="D42"/>
  <c r="I37"/>
  <c r="K34"/>
  <c r="G38"/>
  <c r="E39"/>
  <c r="H36"/>
  <c r="W36" s="1"/>
  <c r="D39"/>
  <c r="E38"/>
  <c r="D38"/>
  <c r="D37"/>
  <c r="W37" s="1"/>
  <c r="W52"/>
  <c r="W51"/>
  <c r="W49"/>
  <c r="W46"/>
  <c r="U42"/>
  <c r="P42"/>
  <c r="N42"/>
  <c r="K42"/>
  <c r="J42"/>
  <c r="I42"/>
  <c r="E42"/>
  <c r="W41"/>
  <c r="W40"/>
  <c r="W35"/>
  <c r="F26"/>
  <c r="W44" l="1"/>
  <c r="W50"/>
  <c r="W48"/>
  <c r="F52" i="4"/>
  <c r="G52"/>
  <c r="W39" i="3"/>
  <c r="W42"/>
  <c r="W43"/>
  <c r="W34"/>
  <c r="W38"/>
  <c r="W47"/>
  <c r="T53"/>
  <c r="Q53"/>
  <c r="N53"/>
  <c r="M53"/>
  <c r="V53"/>
  <c r="U53"/>
  <c r="S53"/>
  <c r="R53"/>
  <c r="J53"/>
  <c r="I53"/>
  <c r="H53"/>
  <c r="G53"/>
  <c r="E53"/>
  <c r="D53"/>
  <c r="L53"/>
  <c r="G15" i="4"/>
  <c r="G26" s="1"/>
  <c r="D26"/>
  <c r="E26"/>
  <c r="F26"/>
  <c r="H26"/>
  <c r="I26"/>
  <c r="J26"/>
  <c r="K26"/>
  <c r="L26"/>
  <c r="M26"/>
  <c r="N26"/>
  <c r="W9" i="3"/>
  <c r="S15"/>
  <c r="S26" s="1"/>
  <c r="T15" i="4"/>
  <c r="V15" i="3"/>
  <c r="V26" s="1"/>
  <c r="U15"/>
  <c r="U26" s="1"/>
  <c r="R15"/>
  <c r="Q15"/>
  <c r="P15"/>
  <c r="O15"/>
  <c r="N15"/>
  <c r="M15"/>
  <c r="K15"/>
  <c r="K26" s="1"/>
  <c r="J15"/>
  <c r="J26" s="1"/>
  <c r="I15"/>
  <c r="I26" s="1"/>
  <c r="H26"/>
  <c r="G15"/>
  <c r="G26" s="1"/>
  <c r="E15"/>
  <c r="E26" s="1"/>
  <c r="D15"/>
  <c r="D26" s="1"/>
  <c r="T26"/>
  <c r="W20"/>
  <c r="R26"/>
  <c r="Q26"/>
  <c r="P26"/>
  <c r="O26"/>
  <c r="N26"/>
  <c r="M26"/>
  <c r="L26"/>
  <c r="W25"/>
  <c r="W24"/>
  <c r="W23"/>
  <c r="W22"/>
  <c r="W21"/>
  <c r="W19"/>
  <c r="W18"/>
  <c r="W17"/>
  <c r="W16"/>
  <c r="W14"/>
  <c r="W13"/>
  <c r="W12"/>
  <c r="W11"/>
  <c r="W10"/>
  <c r="W8"/>
  <c r="W6"/>
  <c r="W26" i="4"/>
  <c r="V26"/>
  <c r="U26"/>
  <c r="T26"/>
  <c r="S26"/>
  <c r="R26"/>
  <c r="Q26"/>
  <c r="P26"/>
  <c r="O26"/>
  <c r="X6"/>
  <c r="X26" l="1"/>
  <c r="W53" i="3"/>
  <c r="P53"/>
  <c r="O53"/>
  <c r="K53"/>
  <c r="F53"/>
  <c r="W15"/>
  <c r="W26" s="1"/>
</calcChain>
</file>

<file path=xl/sharedStrings.xml><?xml version="1.0" encoding="utf-8"?>
<sst xmlns="http://schemas.openxmlformats.org/spreadsheetml/2006/main" count="245" uniqueCount="71">
  <si>
    <t>เจ้าหนี้ - ค่ารักษาพยาบาล OPD UC นอก CUP ในจังหวัด</t>
  </si>
  <si>
    <t>ณ วันที่ 30 กันยายน 2558</t>
  </si>
  <si>
    <t>ลูกหนี้ - ค่ารักษาพยาบาล OPD UC นอก CUP ในจังหวัด</t>
  </si>
  <si>
    <t>ลำดับที่</t>
  </si>
  <si>
    <t>รพ.</t>
  </si>
  <si>
    <t>รพ.ร้อยเอ็ด</t>
  </si>
  <si>
    <t>รพ.ปทุมรัตต์</t>
  </si>
  <si>
    <t>รพ.จตุรพักฯ</t>
  </si>
  <si>
    <t>รพ.หนองพอก</t>
  </si>
  <si>
    <t>รพ.อาจสามารถ</t>
  </si>
  <si>
    <t>รพ.โพนทอง</t>
  </si>
  <si>
    <t>รพ.โพนทราย</t>
  </si>
  <si>
    <t>รพ.จังหาร</t>
  </si>
  <si>
    <t>รพ.ศรีสมเด็จ</t>
  </si>
  <si>
    <t>รพ.เมยวดี</t>
  </si>
  <si>
    <t>รพ.เกษตรวิสัย</t>
  </si>
  <si>
    <t>รพ.สุวรรณภูมิ</t>
  </si>
  <si>
    <t>รพ.เสลภูมิ</t>
  </si>
  <si>
    <t>รพ.เมืองสรวง</t>
  </si>
  <si>
    <t>รพ.โพธิ์ชัย</t>
  </si>
  <si>
    <t>รพ.พนมไพร</t>
  </si>
  <si>
    <t>รพ.ธวัชบุรี</t>
  </si>
  <si>
    <t>รพ.หนองฮี</t>
  </si>
  <si>
    <t>รพ.เชียงขวัญ</t>
  </si>
  <si>
    <t>รพ.ทุ่งเขาหลวง</t>
  </si>
  <si>
    <t>รวม</t>
  </si>
  <si>
    <t>รพ.จตุรพักรฯ</t>
  </si>
  <si>
    <t xml:space="preserve"> -</t>
  </si>
  <si>
    <t>ค่ารักษาระหว่างกันของหน่วยบริการในสังกัดสำนักงานสารณสุขจังหวัดร้อยเอ็ด</t>
  </si>
  <si>
    <t>ณ  วันที่  15 มิถุนายน 2559</t>
  </si>
  <si>
    <t>หน่วยบริการ</t>
  </si>
  <si>
    <t>รพ.ร้อยเอ็ด(UC)</t>
  </si>
  <si>
    <t>Dr  ลูกหนี้ ฯ - รพ.โพนทราย</t>
  </si>
  <si>
    <t xml:space="preserve">Cr. รายได้ค่ารักษาฯ </t>
  </si>
  <si>
    <t>Cr. เจ้าหนี้ ฯ - รพ.โพนทราย</t>
  </si>
  <si>
    <t>Dr  ค่ารักษาตามจ่าย</t>
  </si>
  <si>
    <t>Dr  เจ้าหนี้ ฯ - รพ.โพนทราย</t>
  </si>
  <si>
    <t>Cr. ลูกหนี้ ฯ - รพ.โพนทราย</t>
  </si>
  <si>
    <t>Cr. เจ้าหนี้ ฯ - รพ.โพนทอง</t>
  </si>
  <si>
    <t>Dr  ลูกหนี้ ฯ - รพ.โพนทอง</t>
  </si>
  <si>
    <t>Dr  เจ้าหนี้ ฯ - รพ.โพนทอง</t>
  </si>
  <si>
    <t>Cr. ลูกหนี้ ฯ - รพ.โพนทอง</t>
  </si>
  <si>
    <t>การบันทึกบัญชีหักกลบ</t>
  </si>
  <si>
    <t>บันทึกตกลง (MOU)</t>
  </si>
  <si>
    <t>ในการชำระหนี้ระหว่างหน่วยบริการ (UC-OPD นอก CUP ในจังหวัด)</t>
  </si>
  <si>
    <t>ระหว่าง</t>
  </si>
  <si>
    <t>กับ</t>
  </si>
  <si>
    <t>บันทึกข้อตกลงในการชำระหนี้ระหว่างหน่วยบริการ   (UC-OPD นอก CUP ในจังหวัด)</t>
  </si>
  <si>
    <t>เพื่อสนับสนุนการดำเนินงานตามแผนการแก้ไขปัญหาหนี้ระหว่างหน่วยบริการ ทั้งสองฝ่ายจึงตกลงร่วมกัน ดังนี้</t>
  </si>
  <si>
    <t>หนี้ค้างชำระ ย้อนหลัง - ปี ๒๕๕๘</t>
  </si>
  <si>
    <t>หนี้ค้างชำระ  ปี ๒๕๕๙</t>
  </si>
  <si>
    <t>เรียกเก็บ</t>
  </si>
  <si>
    <t>ตามจ่าย</t>
  </si>
  <si>
    <t>ผลต่าง(หักกลบหนี้)</t>
  </si>
  <si>
    <t>รพ.(ที่เป็นลูกหนี้)ยืนยันยอดชำระ</t>
  </si>
  <si>
    <t>ผลต่าง(ตัดหนี้สูญ)</t>
  </si>
  <si>
    <t>บันทึกข้อตกลงนี้จัดทำขึ้น ๒ ฉบับ มีข้อความถูกต้องตรงกันทุกฝ่าย ได้อ่านทำความเข้าใจ</t>
  </si>
  <si>
    <t xml:space="preserve">ตามข้อตกลงโดยละเอียดแล้ว  จึงได้ลงลายมือไว้เป็นหลักฐานและคู่สัญญาต่างยึดถือไว้ฝ่ายละ ๑ ฉบับ </t>
  </si>
  <si>
    <t>ลงนาม  ณ.......................................................................................................................................................................................................................</t>
  </si>
  <si>
    <t>เมื่อวันที่...................................................................................</t>
  </si>
  <si>
    <t>ลงนาม.......................................................</t>
  </si>
  <si>
    <t>ลงนาม...................................................</t>
  </si>
  <si>
    <t>นายพิทักษ์พงศ์ พายุหะ</t>
  </si>
  <si>
    <t>นายธารา  รัตนอำนวยศิริ</t>
  </si>
  <si>
    <t>ผู้อำนวยการโรงพยาบาลหนองพอก</t>
  </si>
  <si>
    <t>ผู้อำนวยการโรงพยาบาลอาจสามารถ</t>
  </si>
  <si>
    <t>ลงนาม..............................................พยาน</t>
  </si>
  <si>
    <t>โรงพยาบาลโพนทราย</t>
  </si>
  <si>
    <t>โรงพยาบาลโพนทอง</t>
  </si>
  <si>
    <r>
      <t xml:space="preserve"> ฉบับนี้ จัดทำขึ้นระหว่าง</t>
    </r>
    <r>
      <rPr>
        <sz val="16"/>
        <color rgb="FFFF0000"/>
        <rFont val="AngsanaUPC"/>
        <family val="1"/>
      </rPr>
      <t xml:space="preserve"> โรงพยาบาลโพนทราย   </t>
    </r>
    <r>
      <rPr>
        <sz val="16"/>
        <color theme="1"/>
        <rFont val="AngsanaUPC"/>
        <family val="1"/>
      </rPr>
      <t xml:space="preserve">กับ  </t>
    </r>
    <r>
      <rPr>
        <sz val="16"/>
        <color rgb="FFFF0000"/>
        <rFont val="AngsanaUPC"/>
        <family val="1"/>
      </rPr>
      <t xml:space="preserve"> โรงพยาบาลโพนทอง</t>
    </r>
  </si>
  <si>
    <t>ยอดคงเหลือหลังจากหักกลบหนี้คงค้างระหว่างหน่วยบริการ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</si>
</sst>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b/>
      <sz val="11"/>
      <color theme="1"/>
      <name val="Tahoma"/>
      <family val="2"/>
      <scheme val="minor"/>
    </font>
    <font>
      <u/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sz val="16"/>
      <color rgb="FFFF0000"/>
      <name val="AngsanaUPC"/>
      <family val="1"/>
    </font>
    <font>
      <sz val="14"/>
      <color theme="1"/>
      <name val="AngsanaUPC"/>
      <family val="1"/>
    </font>
    <font>
      <b/>
      <sz val="20"/>
      <name val="Arial Black"/>
      <family val="2"/>
    </font>
    <font>
      <sz val="20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2" fillId="3" borderId="5" xfId="1" applyFont="1" applyFill="1" applyBorder="1" applyAlignment="1">
      <alignment vertical="center"/>
    </xf>
    <xf numFmtId="43" fontId="2" fillId="4" borderId="5" xfId="1" applyFont="1" applyFill="1" applyBorder="1" applyAlignment="1">
      <alignment vertical="center"/>
    </xf>
    <xf numFmtId="43" fontId="2" fillId="0" borderId="5" xfId="1" applyFont="1" applyBorder="1" applyAlignment="1">
      <alignment vertical="center"/>
    </xf>
    <xf numFmtId="43" fontId="2" fillId="5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3" fontId="2" fillId="0" borderId="6" xfId="1" applyFont="1" applyBorder="1" applyAlignment="1">
      <alignment vertical="center"/>
    </xf>
    <xf numFmtId="43" fontId="2" fillId="3" borderId="6" xfId="1" applyFont="1" applyFill="1" applyBorder="1" applyAlignment="1">
      <alignment vertical="center"/>
    </xf>
    <xf numFmtId="43" fontId="2" fillId="0" borderId="6" xfId="1" applyFont="1" applyFill="1" applyBorder="1" applyAlignment="1">
      <alignment vertical="center"/>
    </xf>
    <xf numFmtId="43" fontId="2" fillId="0" borderId="6" xfId="1" applyFont="1" applyBorder="1"/>
    <xf numFmtId="43" fontId="2" fillId="0" borderId="6" xfId="1" applyFont="1" applyFill="1" applyBorder="1"/>
    <xf numFmtId="43" fontId="2" fillId="0" borderId="6" xfId="1" applyFont="1" applyBorder="1" applyAlignment="1"/>
    <xf numFmtId="0" fontId="2" fillId="0" borderId="6" xfId="0" applyFont="1" applyFill="1" applyBorder="1" applyAlignment="1">
      <alignment vertical="center"/>
    </xf>
    <xf numFmtId="0" fontId="2" fillId="0" borderId="0" xfId="0" applyFont="1" applyFill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43" fontId="2" fillId="0" borderId="8" xfId="1" applyFont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4" xfId="1" applyFont="1" applyBorder="1" applyAlignment="1">
      <alignment vertical="center"/>
    </xf>
    <xf numFmtId="43" fontId="2" fillId="3" borderId="11" xfId="1" applyFont="1" applyFill="1" applyBorder="1" applyAlignment="1">
      <alignment vertical="center"/>
    </xf>
    <xf numFmtId="43" fontId="2" fillId="0" borderId="0" xfId="0" applyNumberFormat="1" applyFont="1"/>
    <xf numFmtId="0" fontId="2" fillId="0" borderId="5" xfId="0" applyFont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2" fillId="0" borderId="5" xfId="1" applyFont="1" applyBorder="1"/>
    <xf numFmtId="43" fontId="2" fillId="2" borderId="6" xfId="1" applyFont="1" applyFill="1" applyBorder="1"/>
    <xf numFmtId="43" fontId="2" fillId="0" borderId="6" xfId="1" applyFont="1" applyBorder="1" applyAlignment="1">
      <alignment horizontal="center"/>
    </xf>
    <xf numFmtId="43" fontId="2" fillId="6" borderId="6" xfId="1" applyFont="1" applyFill="1" applyBorder="1"/>
    <xf numFmtId="43" fontId="3" fillId="0" borderId="6" xfId="1" applyFont="1" applyBorder="1"/>
    <xf numFmtId="43" fontId="2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43" fontId="2" fillId="0" borderId="7" xfId="1" applyFont="1" applyBorder="1"/>
    <xf numFmtId="43" fontId="2" fillId="0" borderId="7" xfId="1" applyFont="1" applyFill="1" applyBorder="1"/>
    <xf numFmtId="43" fontId="2" fillId="0" borderId="8" xfId="1" applyFont="1" applyBorder="1"/>
    <xf numFmtId="43" fontId="2" fillId="0" borderId="8" xfId="1" applyFont="1" applyBorder="1" applyAlignment="1">
      <alignment horizontal="center"/>
    </xf>
    <xf numFmtId="43" fontId="2" fillId="0" borderId="8" xfId="1" applyFont="1" applyFill="1" applyBorder="1"/>
    <xf numFmtId="43" fontId="2" fillId="2" borderId="8" xfId="1" applyFont="1" applyFill="1" applyBorder="1"/>
    <xf numFmtId="0" fontId="0" fillId="0" borderId="0" xfId="0"/>
    <xf numFmtId="43" fontId="2" fillId="6" borderId="6" xfId="1" applyFont="1" applyFill="1" applyBorder="1" applyAlignment="1">
      <alignment vertical="center"/>
    </xf>
    <xf numFmtId="43" fontId="0" fillId="0" borderId="0" xfId="1" applyFont="1"/>
    <xf numFmtId="0" fontId="0" fillId="0" borderId="17" xfId="0" applyBorder="1"/>
    <xf numFmtId="0" fontId="0" fillId="0" borderId="18" xfId="0" applyBorder="1"/>
    <xf numFmtId="43" fontId="0" fillId="0" borderId="18" xfId="1" applyFont="1" applyBorder="1"/>
    <xf numFmtId="43" fontId="0" fillId="0" borderId="19" xfId="1" applyFont="1" applyBorder="1"/>
    <xf numFmtId="0" fontId="0" fillId="0" borderId="20" xfId="0" applyBorder="1"/>
    <xf numFmtId="0" fontId="0" fillId="0" borderId="0" xfId="0" applyBorder="1"/>
    <xf numFmtId="43" fontId="0" fillId="0" borderId="0" xfId="1" applyFont="1" applyBorder="1"/>
    <xf numFmtId="43" fontId="0" fillId="0" borderId="1" xfId="1" applyFont="1" applyBorder="1"/>
    <xf numFmtId="0" fontId="0" fillId="0" borderId="21" xfId="0" applyBorder="1"/>
    <xf numFmtId="0" fontId="0" fillId="0" borderId="22" xfId="0" applyBorder="1"/>
    <xf numFmtId="43" fontId="0" fillId="0" borderId="22" xfId="1" applyFont="1" applyBorder="1"/>
    <xf numFmtId="43" fontId="0" fillId="0" borderId="12" xfId="1" applyFont="1" applyBorder="1"/>
    <xf numFmtId="0" fontId="0" fillId="0" borderId="23" xfId="0" applyBorder="1"/>
    <xf numFmtId="43" fontId="0" fillId="0" borderId="24" xfId="1" applyFont="1" applyBorder="1"/>
    <xf numFmtId="0" fontId="0" fillId="0" borderId="25" xfId="0" applyBorder="1"/>
    <xf numFmtId="43" fontId="0" fillId="0" borderId="26" xfId="1" applyFont="1" applyBorder="1"/>
    <xf numFmtId="0" fontId="0" fillId="0" borderId="27" xfId="0" applyBorder="1"/>
    <xf numFmtId="43" fontId="0" fillId="0" borderId="28" xfId="1" applyFont="1" applyBorder="1"/>
    <xf numFmtId="0" fontId="5" fillId="0" borderId="25" xfId="0" applyFont="1" applyBorder="1"/>
    <xf numFmtId="0" fontId="5" fillId="0" borderId="20" xfId="0" applyFont="1" applyBorder="1"/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3" fontId="6" fillId="0" borderId="3" xfId="1" applyFont="1" applyBorder="1"/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left"/>
    </xf>
    <xf numFmtId="43" fontId="3" fillId="0" borderId="6" xfId="1" applyFont="1" applyFill="1" applyBorder="1"/>
    <xf numFmtId="43" fontId="2" fillId="0" borderId="6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6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0" fillId="0" borderId="0" xfId="0" applyFont="1"/>
    <xf numFmtId="0" fontId="9" fillId="0" borderId="1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2" fillId="0" borderId="6" xfId="1" applyFont="1" applyFill="1" applyBorder="1" applyAlignment="1"/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7"/>
  <sheetViews>
    <sheetView tabSelected="1" zoomScale="50" zoomScaleNormal="50" workbookViewId="0">
      <selection activeCell="I14" sqref="I14"/>
    </sheetView>
  </sheetViews>
  <sheetFormatPr defaultColWidth="8" defaultRowHeight="24.75"/>
  <cols>
    <col min="1" max="1" width="5.5" style="10" bestFit="1" customWidth="1"/>
    <col min="2" max="2" width="9.25" style="10" customWidth="1"/>
    <col min="3" max="3" width="20.625" style="10" bestFit="1" customWidth="1"/>
    <col min="4" max="5" width="20.125" style="10" bestFit="1" customWidth="1"/>
    <col min="6" max="8" width="23.125" style="10" bestFit="1" customWidth="1"/>
    <col min="9" max="9" width="23.125" style="10" customWidth="1"/>
    <col min="10" max="10" width="18.375" style="10" bestFit="1" customWidth="1"/>
    <col min="11" max="11" width="18.625" style="10" bestFit="1" customWidth="1"/>
    <col min="12" max="12" width="20.125" style="10" bestFit="1" customWidth="1"/>
    <col min="13" max="13" width="22.375" style="10" customWidth="1"/>
    <col min="14" max="15" width="23.125" style="10" customWidth="1"/>
    <col min="16" max="16" width="23.125" style="10" bestFit="1" customWidth="1"/>
    <col min="17" max="17" width="20.125" style="10" bestFit="1" customWidth="1"/>
    <col min="18" max="19" width="23.125" style="10" bestFit="1" customWidth="1"/>
    <col min="20" max="20" width="20.125" style="10" bestFit="1" customWidth="1"/>
    <col min="21" max="21" width="19.375" style="10" bestFit="1" customWidth="1"/>
    <col min="22" max="22" width="18.625" style="10" customWidth="1"/>
    <col min="23" max="23" width="24.875" style="10" bestFit="1" customWidth="1"/>
    <col min="24" max="16384" width="8" style="10"/>
  </cols>
  <sheetData>
    <row r="1" spans="1:23" ht="34.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</row>
    <row r="2" spans="1:23" ht="34.5" customHeight="1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r="3" spans="1:23" ht="34.5" customHeight="1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3" s="30" customFormat="1" ht="24" customHeight="1">
      <c r="A4" s="78" t="s">
        <v>2</v>
      </c>
      <c r="B4" s="75" t="s">
        <v>3</v>
      </c>
      <c r="C4" s="75" t="s">
        <v>4</v>
      </c>
      <c r="D4" s="75" t="s">
        <v>6</v>
      </c>
      <c r="E4" s="75" t="s">
        <v>7</v>
      </c>
      <c r="F4" s="75" t="s">
        <v>8</v>
      </c>
      <c r="G4" s="75" t="s">
        <v>9</v>
      </c>
      <c r="H4" s="75" t="s">
        <v>10</v>
      </c>
      <c r="I4" s="75" t="s">
        <v>11</v>
      </c>
      <c r="J4" s="75" t="s">
        <v>12</v>
      </c>
      <c r="K4" s="75" t="s">
        <v>13</v>
      </c>
      <c r="L4" s="75" t="s">
        <v>14</v>
      </c>
      <c r="M4" s="75" t="s">
        <v>15</v>
      </c>
      <c r="N4" s="75" t="s">
        <v>16</v>
      </c>
      <c r="O4" s="75" t="s">
        <v>17</v>
      </c>
      <c r="P4" s="75" t="s">
        <v>18</v>
      </c>
      <c r="Q4" s="75" t="s">
        <v>19</v>
      </c>
      <c r="R4" s="75" t="s">
        <v>20</v>
      </c>
      <c r="S4" s="75" t="s">
        <v>21</v>
      </c>
      <c r="T4" s="75" t="s">
        <v>22</v>
      </c>
      <c r="U4" s="75" t="s">
        <v>23</v>
      </c>
      <c r="V4" s="75" t="s">
        <v>24</v>
      </c>
      <c r="W4" s="75" t="s">
        <v>25</v>
      </c>
    </row>
    <row r="5" spans="1:23" s="30" customFormat="1" ht="24" customHeight="1">
      <c r="A5" s="78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6" spans="1:23" ht="34.5" hidden="1" customHeight="1">
      <c r="A6" s="78"/>
      <c r="B6" s="4">
        <v>1</v>
      </c>
      <c r="C6" s="28" t="s">
        <v>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>
        <f t="shared" ref="W6:W25" si="0">SUM((D6:V6))</f>
        <v>0</v>
      </c>
    </row>
    <row r="7" spans="1:23" ht="39" customHeight="1">
      <c r="A7" s="78"/>
      <c r="B7" s="11">
        <v>1</v>
      </c>
      <c r="C7" s="12" t="s">
        <v>6</v>
      </c>
      <c r="D7" s="32"/>
      <c r="E7" s="16">
        <v>9100</v>
      </c>
      <c r="F7" s="16">
        <v>1255</v>
      </c>
      <c r="G7" s="16">
        <v>1225</v>
      </c>
      <c r="H7" s="17">
        <v>1050</v>
      </c>
      <c r="I7" s="16">
        <v>525</v>
      </c>
      <c r="J7" s="16">
        <v>1225</v>
      </c>
      <c r="K7" s="16">
        <v>3180</v>
      </c>
      <c r="L7" s="16">
        <v>400</v>
      </c>
      <c r="M7" s="16">
        <v>3231850</v>
      </c>
      <c r="N7" s="16">
        <v>11435</v>
      </c>
      <c r="O7" s="16">
        <v>9975</v>
      </c>
      <c r="P7" s="16">
        <v>4900</v>
      </c>
      <c r="Q7" s="16">
        <v>350</v>
      </c>
      <c r="R7" s="16">
        <v>2275</v>
      </c>
      <c r="S7" s="16">
        <v>9425</v>
      </c>
      <c r="T7" s="16">
        <v>525</v>
      </c>
      <c r="U7" s="16">
        <v>350</v>
      </c>
      <c r="V7" s="16">
        <v>0</v>
      </c>
      <c r="W7" s="16">
        <f>SUM((D7:V7))</f>
        <v>3289045</v>
      </c>
    </row>
    <row r="8" spans="1:23" ht="39" customHeight="1">
      <c r="A8" s="78"/>
      <c r="B8" s="11">
        <v>2</v>
      </c>
      <c r="C8" s="12" t="s">
        <v>26</v>
      </c>
      <c r="D8" s="16">
        <v>0</v>
      </c>
      <c r="E8" s="32"/>
      <c r="F8" s="16">
        <v>0</v>
      </c>
      <c r="G8" s="16">
        <v>0</v>
      </c>
      <c r="H8" s="17">
        <v>5075</v>
      </c>
      <c r="I8" s="16">
        <v>525</v>
      </c>
      <c r="J8" s="16">
        <v>300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33">
        <v>0</v>
      </c>
      <c r="Q8" s="16">
        <v>525</v>
      </c>
      <c r="R8" s="16">
        <v>0</v>
      </c>
      <c r="S8" s="16">
        <v>0</v>
      </c>
      <c r="T8" s="16">
        <v>0</v>
      </c>
      <c r="U8" s="16">
        <v>350</v>
      </c>
      <c r="V8" s="16">
        <v>175</v>
      </c>
      <c r="W8" s="16">
        <f t="shared" si="0"/>
        <v>6950</v>
      </c>
    </row>
    <row r="9" spans="1:23" ht="39" customHeight="1">
      <c r="A9" s="78"/>
      <c r="B9" s="11">
        <v>3</v>
      </c>
      <c r="C9" s="12" t="s">
        <v>8</v>
      </c>
      <c r="D9" s="16">
        <v>0</v>
      </c>
      <c r="E9" s="16">
        <v>0</v>
      </c>
      <c r="F9" s="32"/>
      <c r="G9" s="16">
        <v>0</v>
      </c>
      <c r="H9" s="16">
        <v>745805</v>
      </c>
      <c r="I9" s="16">
        <v>0</v>
      </c>
      <c r="J9" s="16">
        <v>0</v>
      </c>
      <c r="K9" s="16">
        <v>0</v>
      </c>
      <c r="L9" s="16">
        <v>312007</v>
      </c>
      <c r="M9" s="16">
        <v>0</v>
      </c>
      <c r="N9" s="16">
        <v>0</v>
      </c>
      <c r="O9" s="16">
        <v>0</v>
      </c>
      <c r="P9" s="33">
        <v>0</v>
      </c>
      <c r="Q9" s="16">
        <v>0</v>
      </c>
      <c r="R9" s="16">
        <v>905</v>
      </c>
      <c r="S9" s="16">
        <v>0</v>
      </c>
      <c r="T9" s="16">
        <v>0</v>
      </c>
      <c r="U9" s="16">
        <v>0</v>
      </c>
      <c r="V9" s="16">
        <v>175</v>
      </c>
      <c r="W9" s="16">
        <f t="shared" si="0"/>
        <v>1058892</v>
      </c>
    </row>
    <row r="10" spans="1:23" ht="39" customHeight="1">
      <c r="A10" s="78"/>
      <c r="B10" s="11">
        <v>4</v>
      </c>
      <c r="C10" s="12" t="s">
        <v>9</v>
      </c>
      <c r="D10" s="16">
        <v>8450</v>
      </c>
      <c r="E10" s="16">
        <v>12475</v>
      </c>
      <c r="F10" s="16">
        <v>18325</v>
      </c>
      <c r="G10" s="32"/>
      <c r="H10" s="17">
        <v>13850</v>
      </c>
      <c r="I10" s="34">
        <v>9650</v>
      </c>
      <c r="J10" s="16">
        <v>14175</v>
      </c>
      <c r="K10" s="16">
        <v>1750</v>
      </c>
      <c r="L10" s="16">
        <v>1000</v>
      </c>
      <c r="M10" s="16">
        <v>9596</v>
      </c>
      <c r="N10" s="16">
        <v>117207</v>
      </c>
      <c r="O10" s="16">
        <v>189205</v>
      </c>
      <c r="P10" s="16">
        <v>5300308</v>
      </c>
      <c r="Q10" s="16">
        <v>14470</v>
      </c>
      <c r="R10" s="34">
        <v>62110</v>
      </c>
      <c r="S10" s="16">
        <v>58925</v>
      </c>
      <c r="T10" s="17">
        <v>2275</v>
      </c>
      <c r="U10" s="35">
        <v>1925</v>
      </c>
      <c r="V10" s="16">
        <v>4025</v>
      </c>
      <c r="W10" s="16">
        <f t="shared" si="0"/>
        <v>5839721</v>
      </c>
    </row>
    <row r="11" spans="1:23" ht="39" customHeight="1">
      <c r="A11" s="78"/>
      <c r="B11" s="11">
        <v>5</v>
      </c>
      <c r="C11" s="12" t="s">
        <v>10</v>
      </c>
      <c r="D11" s="17">
        <v>8675</v>
      </c>
      <c r="E11" s="17">
        <v>8400</v>
      </c>
      <c r="F11" s="16">
        <v>537150</v>
      </c>
      <c r="G11" s="16">
        <v>27200</v>
      </c>
      <c r="H11" s="32"/>
      <c r="I11" s="16">
        <v>6725</v>
      </c>
      <c r="J11" s="16">
        <v>11725</v>
      </c>
      <c r="K11" s="16">
        <v>8050</v>
      </c>
      <c r="L11" s="16">
        <v>36700</v>
      </c>
      <c r="M11" s="16">
        <v>4450</v>
      </c>
      <c r="N11" s="16">
        <v>12825</v>
      </c>
      <c r="O11" s="16">
        <v>393172</v>
      </c>
      <c r="P11" s="16">
        <v>22175</v>
      </c>
      <c r="Q11" s="16">
        <v>398410</v>
      </c>
      <c r="R11" s="16">
        <v>10950</v>
      </c>
      <c r="S11" s="16">
        <v>1040754</v>
      </c>
      <c r="T11" s="16">
        <v>0</v>
      </c>
      <c r="U11" s="16">
        <v>5250</v>
      </c>
      <c r="V11" s="16">
        <v>1400</v>
      </c>
      <c r="W11" s="16">
        <f t="shared" si="0"/>
        <v>2534011</v>
      </c>
    </row>
    <row r="12" spans="1:23" ht="39" customHeight="1">
      <c r="A12" s="78"/>
      <c r="B12" s="11">
        <v>6</v>
      </c>
      <c r="C12" s="12" t="s">
        <v>11</v>
      </c>
      <c r="D12" s="16">
        <v>2100</v>
      </c>
      <c r="E12" s="16">
        <v>2800</v>
      </c>
      <c r="F12" s="16">
        <v>3355</v>
      </c>
      <c r="G12" s="16">
        <v>7350</v>
      </c>
      <c r="H12" s="16">
        <v>1925</v>
      </c>
      <c r="I12" s="32"/>
      <c r="J12" s="16">
        <v>1225</v>
      </c>
      <c r="K12" s="16">
        <v>525</v>
      </c>
      <c r="L12" s="16">
        <v>0</v>
      </c>
      <c r="M12" s="16">
        <v>97300</v>
      </c>
      <c r="N12" s="16">
        <v>2369663</v>
      </c>
      <c r="O12" s="16">
        <v>8925</v>
      </c>
      <c r="P12" s="16">
        <v>37625</v>
      </c>
      <c r="Q12" s="16">
        <v>1225</v>
      </c>
      <c r="R12" s="16">
        <v>14875</v>
      </c>
      <c r="S12" s="16">
        <v>15050</v>
      </c>
      <c r="T12" s="16">
        <v>17325</v>
      </c>
      <c r="U12" s="16">
        <v>875</v>
      </c>
      <c r="V12" s="16">
        <v>0</v>
      </c>
      <c r="W12" s="16">
        <f t="shared" si="0"/>
        <v>2582143</v>
      </c>
    </row>
    <row r="13" spans="1:23" ht="39" customHeight="1">
      <c r="A13" s="78"/>
      <c r="B13" s="11">
        <v>7</v>
      </c>
      <c r="C13" s="12" t="s">
        <v>12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32"/>
      <c r="K13" s="16">
        <v>0</v>
      </c>
      <c r="L13" s="16">
        <v>0</v>
      </c>
      <c r="M13" s="16">
        <v>0</v>
      </c>
      <c r="N13" s="16">
        <v>0</v>
      </c>
      <c r="O13" s="34">
        <v>0</v>
      </c>
      <c r="P13" s="3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f t="shared" si="0"/>
        <v>0</v>
      </c>
    </row>
    <row r="14" spans="1:23" ht="39" customHeight="1">
      <c r="A14" s="78"/>
      <c r="B14" s="11">
        <v>8</v>
      </c>
      <c r="C14" s="12" t="s">
        <v>13</v>
      </c>
      <c r="D14" s="16">
        <v>350</v>
      </c>
      <c r="E14" s="16">
        <v>350</v>
      </c>
      <c r="F14" s="16">
        <v>0</v>
      </c>
      <c r="G14" s="16">
        <v>0</v>
      </c>
      <c r="H14" s="16">
        <v>0</v>
      </c>
      <c r="I14" s="16">
        <v>0</v>
      </c>
      <c r="J14" s="16">
        <v>1575</v>
      </c>
      <c r="K14" s="32"/>
      <c r="L14" s="16">
        <v>0</v>
      </c>
      <c r="M14" s="16">
        <v>0</v>
      </c>
      <c r="N14" s="16">
        <v>350</v>
      </c>
      <c r="O14" s="16">
        <v>3355</v>
      </c>
      <c r="P14" s="16">
        <v>700</v>
      </c>
      <c r="Q14" s="16">
        <v>875</v>
      </c>
      <c r="R14" s="16">
        <v>0</v>
      </c>
      <c r="S14" s="16">
        <v>1750</v>
      </c>
      <c r="T14" s="16">
        <v>175</v>
      </c>
      <c r="U14" s="16">
        <v>350</v>
      </c>
      <c r="V14" s="16">
        <v>0</v>
      </c>
      <c r="W14" s="16">
        <f t="shared" si="0"/>
        <v>9830</v>
      </c>
    </row>
    <row r="15" spans="1:23" ht="39" customHeight="1">
      <c r="A15" s="78"/>
      <c r="B15" s="11">
        <v>9</v>
      </c>
      <c r="C15" s="12" t="s">
        <v>14</v>
      </c>
      <c r="D15" s="16">
        <f>2100-175</f>
        <v>1925</v>
      </c>
      <c r="E15" s="16">
        <f>3600-1050</f>
        <v>2550</v>
      </c>
      <c r="F15" s="16">
        <v>275655</v>
      </c>
      <c r="G15" s="16">
        <f>2700-525</f>
        <v>2175</v>
      </c>
      <c r="H15" s="16">
        <v>2565160</v>
      </c>
      <c r="I15" s="16">
        <f>1550-1225</f>
        <v>325</v>
      </c>
      <c r="J15" s="16">
        <f>2675-175</f>
        <v>2500</v>
      </c>
      <c r="K15" s="16">
        <f>875-0</f>
        <v>875</v>
      </c>
      <c r="L15" s="32"/>
      <c r="M15" s="16">
        <f>175-0</f>
        <v>175</v>
      </c>
      <c r="N15" s="16">
        <f>1815-615</f>
        <v>1200</v>
      </c>
      <c r="O15" s="16">
        <f>35275-11725</f>
        <v>23550</v>
      </c>
      <c r="P15" s="16">
        <f>1930-1400</f>
        <v>530</v>
      </c>
      <c r="Q15" s="16">
        <f>4221-0</f>
        <v>4221</v>
      </c>
      <c r="R15" s="16">
        <f>875-0</f>
        <v>875</v>
      </c>
      <c r="S15" s="16">
        <f>32280-4025</f>
        <v>28255</v>
      </c>
      <c r="T15" s="16">
        <v>0</v>
      </c>
      <c r="U15" s="16">
        <f>2800-2800</f>
        <v>0</v>
      </c>
      <c r="V15" s="16">
        <f>175-0</f>
        <v>175</v>
      </c>
      <c r="W15" s="16">
        <f t="shared" si="0"/>
        <v>2910146</v>
      </c>
    </row>
    <row r="16" spans="1:23" ht="39" customHeight="1">
      <c r="A16" s="78"/>
      <c r="B16" s="11">
        <v>10</v>
      </c>
      <c r="C16" s="12" t="s">
        <v>15</v>
      </c>
      <c r="D16" s="16">
        <v>264050</v>
      </c>
      <c r="E16" s="16">
        <v>291580</v>
      </c>
      <c r="F16" s="16">
        <v>14580</v>
      </c>
      <c r="G16" s="16">
        <v>35500</v>
      </c>
      <c r="H16" s="16">
        <v>25850</v>
      </c>
      <c r="I16" s="16">
        <v>8125</v>
      </c>
      <c r="J16" s="16">
        <v>7750</v>
      </c>
      <c r="K16" s="16">
        <v>1750</v>
      </c>
      <c r="L16" s="16">
        <v>4025</v>
      </c>
      <c r="M16" s="32"/>
      <c r="N16" s="16">
        <v>254190</v>
      </c>
      <c r="O16" s="16">
        <v>38255</v>
      </c>
      <c r="P16" s="16">
        <v>97625</v>
      </c>
      <c r="Q16" s="16">
        <v>7760</v>
      </c>
      <c r="R16" s="16">
        <v>15150</v>
      </c>
      <c r="S16" s="16">
        <v>31902</v>
      </c>
      <c r="T16" s="16">
        <v>2450</v>
      </c>
      <c r="U16" s="16">
        <v>700</v>
      </c>
      <c r="V16" s="16">
        <v>525</v>
      </c>
      <c r="W16" s="16">
        <f t="shared" si="0"/>
        <v>1101767</v>
      </c>
    </row>
    <row r="17" spans="1:24" ht="39" customHeight="1">
      <c r="A17" s="78"/>
      <c r="B17" s="11">
        <v>11</v>
      </c>
      <c r="C17" s="12" t="s">
        <v>16</v>
      </c>
      <c r="D17" s="16">
        <v>17150</v>
      </c>
      <c r="E17" s="16">
        <v>18575</v>
      </c>
      <c r="F17" s="16">
        <v>9280</v>
      </c>
      <c r="G17" s="16">
        <v>509350</v>
      </c>
      <c r="H17" s="16">
        <v>24150</v>
      </c>
      <c r="I17" s="16">
        <v>89425</v>
      </c>
      <c r="J17" s="16">
        <v>5575</v>
      </c>
      <c r="K17" s="16">
        <v>2275</v>
      </c>
      <c r="L17" s="16">
        <v>0</v>
      </c>
      <c r="M17" s="16">
        <v>1428708</v>
      </c>
      <c r="N17" s="32"/>
      <c r="O17" s="16">
        <v>26080</v>
      </c>
      <c r="P17" s="16">
        <v>906675</v>
      </c>
      <c r="Q17" s="16">
        <v>6190</v>
      </c>
      <c r="R17" s="16">
        <v>100365</v>
      </c>
      <c r="S17" s="16">
        <v>71700</v>
      </c>
      <c r="T17" s="16">
        <v>56000</v>
      </c>
      <c r="U17" s="16">
        <v>22225</v>
      </c>
      <c r="V17" s="16">
        <v>875</v>
      </c>
      <c r="W17" s="16">
        <f t="shared" si="0"/>
        <v>3294598</v>
      </c>
    </row>
    <row r="18" spans="1:24" ht="39" customHeight="1">
      <c r="A18" s="78"/>
      <c r="B18" s="11">
        <v>12</v>
      </c>
      <c r="C18" s="12" t="s">
        <v>17</v>
      </c>
      <c r="D18" s="16">
        <v>8850</v>
      </c>
      <c r="E18" s="16">
        <v>26925</v>
      </c>
      <c r="F18" s="16">
        <v>632875</v>
      </c>
      <c r="G18" s="16">
        <v>1435200</v>
      </c>
      <c r="H18" s="16">
        <v>355225</v>
      </c>
      <c r="I18" s="16">
        <v>8225</v>
      </c>
      <c r="J18" s="16">
        <v>21175</v>
      </c>
      <c r="K18" s="16">
        <v>8750</v>
      </c>
      <c r="L18" s="16">
        <v>5425</v>
      </c>
      <c r="M18" s="16">
        <v>0</v>
      </c>
      <c r="N18" s="16">
        <v>24880</v>
      </c>
      <c r="O18" s="32"/>
      <c r="P18" s="16">
        <v>36625</v>
      </c>
      <c r="Q18" s="16">
        <v>47425</v>
      </c>
      <c r="R18" s="16">
        <v>22780</v>
      </c>
      <c r="S18" s="16">
        <v>1000000</v>
      </c>
      <c r="T18" s="16">
        <v>4375</v>
      </c>
      <c r="U18" s="16">
        <v>7000</v>
      </c>
      <c r="V18" s="16">
        <v>9100</v>
      </c>
      <c r="W18" s="16">
        <f t="shared" si="0"/>
        <v>3654835</v>
      </c>
    </row>
    <row r="19" spans="1:24" ht="39" customHeight="1">
      <c r="A19" s="78"/>
      <c r="B19" s="11">
        <v>13</v>
      </c>
      <c r="C19" s="12" t="s">
        <v>18</v>
      </c>
      <c r="D19" s="16">
        <v>1650</v>
      </c>
      <c r="E19" s="16">
        <v>15400</v>
      </c>
      <c r="F19" s="16">
        <v>8730</v>
      </c>
      <c r="G19" s="16">
        <v>54625</v>
      </c>
      <c r="H19" s="16">
        <v>3675</v>
      </c>
      <c r="I19" s="16">
        <v>2050</v>
      </c>
      <c r="J19" s="16">
        <v>7015</v>
      </c>
      <c r="K19" s="16">
        <v>850</v>
      </c>
      <c r="L19" s="33">
        <v>0</v>
      </c>
      <c r="M19" s="16">
        <v>6125</v>
      </c>
      <c r="N19" s="16">
        <v>147300</v>
      </c>
      <c r="O19" s="16">
        <v>18675</v>
      </c>
      <c r="P19" s="32"/>
      <c r="Q19" s="16">
        <v>350</v>
      </c>
      <c r="R19" s="16">
        <v>5350</v>
      </c>
      <c r="S19" s="16">
        <v>25900</v>
      </c>
      <c r="T19" s="16">
        <v>1575</v>
      </c>
      <c r="U19" s="16">
        <v>525</v>
      </c>
      <c r="V19" s="33">
        <v>0</v>
      </c>
      <c r="W19" s="16">
        <f t="shared" si="0"/>
        <v>299795</v>
      </c>
    </row>
    <row r="20" spans="1:24" ht="39" customHeight="1">
      <c r="A20" s="78"/>
      <c r="B20" s="11">
        <v>14</v>
      </c>
      <c r="C20" s="12" t="s">
        <v>19</v>
      </c>
      <c r="D20" s="16">
        <v>3500</v>
      </c>
      <c r="E20" s="16">
        <v>1925</v>
      </c>
      <c r="F20" s="16">
        <v>72950</v>
      </c>
      <c r="G20" s="16">
        <v>17675</v>
      </c>
      <c r="H20" s="16">
        <v>662960</v>
      </c>
      <c r="I20" s="16">
        <v>1050</v>
      </c>
      <c r="J20" s="16">
        <v>5805</v>
      </c>
      <c r="K20" s="16">
        <v>1955</v>
      </c>
      <c r="L20" s="16">
        <v>1575</v>
      </c>
      <c r="M20" s="16">
        <v>0</v>
      </c>
      <c r="N20" s="16">
        <v>6125</v>
      </c>
      <c r="O20" s="16">
        <v>41150</v>
      </c>
      <c r="P20" s="16">
        <v>2100</v>
      </c>
      <c r="Q20" s="32"/>
      <c r="R20" s="16">
        <v>4055</v>
      </c>
      <c r="S20" s="16">
        <v>204325</v>
      </c>
      <c r="T20" s="16">
        <v>1750</v>
      </c>
      <c r="U20" s="16">
        <v>23450</v>
      </c>
      <c r="V20" s="16">
        <v>525</v>
      </c>
      <c r="W20" s="16">
        <f t="shared" si="0"/>
        <v>1052875</v>
      </c>
    </row>
    <row r="21" spans="1:24" ht="39" customHeight="1">
      <c r="A21" s="78"/>
      <c r="B21" s="11">
        <v>15</v>
      </c>
      <c r="C21" s="12" t="s">
        <v>20</v>
      </c>
      <c r="D21" s="16">
        <v>10225</v>
      </c>
      <c r="E21" s="16">
        <v>9100</v>
      </c>
      <c r="F21" s="16">
        <v>6650</v>
      </c>
      <c r="G21" s="16">
        <v>136500</v>
      </c>
      <c r="H21" s="16">
        <v>11550</v>
      </c>
      <c r="I21" s="16">
        <v>1139370</v>
      </c>
      <c r="J21" s="16">
        <v>10105</v>
      </c>
      <c r="K21" s="16">
        <v>1400</v>
      </c>
      <c r="L21" s="16">
        <v>1050</v>
      </c>
      <c r="M21" s="16">
        <v>1350</v>
      </c>
      <c r="N21" s="16">
        <v>519725</v>
      </c>
      <c r="O21" s="16">
        <v>41300</v>
      </c>
      <c r="P21" s="16">
        <v>51825</v>
      </c>
      <c r="Q21" s="16">
        <v>2975</v>
      </c>
      <c r="R21" s="32"/>
      <c r="S21" s="16">
        <v>41525</v>
      </c>
      <c r="T21" s="16">
        <v>72975</v>
      </c>
      <c r="U21" s="16">
        <v>2100</v>
      </c>
      <c r="V21" s="16">
        <v>175</v>
      </c>
      <c r="W21" s="16">
        <f t="shared" si="0"/>
        <v>2059900</v>
      </c>
    </row>
    <row r="22" spans="1:24" ht="39" customHeight="1">
      <c r="A22" s="78"/>
      <c r="B22" s="11">
        <v>16</v>
      </c>
      <c r="C22" s="37" t="s">
        <v>21</v>
      </c>
      <c r="D22" s="38">
        <v>1750</v>
      </c>
      <c r="E22" s="38">
        <v>5615</v>
      </c>
      <c r="F22" s="38">
        <v>3325</v>
      </c>
      <c r="G22" s="38">
        <v>25900</v>
      </c>
      <c r="H22" s="38">
        <v>129325</v>
      </c>
      <c r="I22" s="38">
        <v>525</v>
      </c>
      <c r="J22" s="38">
        <v>2975</v>
      </c>
      <c r="K22" s="38">
        <v>875</v>
      </c>
      <c r="L22" s="38">
        <v>525</v>
      </c>
      <c r="M22" s="38">
        <v>0</v>
      </c>
      <c r="N22" s="38">
        <v>905</v>
      </c>
      <c r="O22" s="38">
        <v>153425</v>
      </c>
      <c r="P22" s="38">
        <v>9975</v>
      </c>
      <c r="Q22" s="38">
        <v>7175</v>
      </c>
      <c r="R22" s="39">
        <v>350</v>
      </c>
      <c r="S22" s="32"/>
      <c r="T22" s="38">
        <v>175</v>
      </c>
      <c r="U22" s="38">
        <v>12075</v>
      </c>
      <c r="V22" s="38">
        <v>44275</v>
      </c>
      <c r="W22" s="38">
        <f t="shared" si="0"/>
        <v>399170</v>
      </c>
    </row>
    <row r="23" spans="1:24" ht="39" customHeight="1">
      <c r="A23" s="78"/>
      <c r="B23" s="11">
        <v>17</v>
      </c>
      <c r="C23" s="37" t="s">
        <v>22</v>
      </c>
      <c r="D23" s="38">
        <v>350</v>
      </c>
      <c r="E23" s="38">
        <v>525</v>
      </c>
      <c r="F23" s="38">
        <v>875</v>
      </c>
      <c r="G23" s="38">
        <v>0</v>
      </c>
      <c r="H23" s="38">
        <v>0</v>
      </c>
      <c r="I23" s="38">
        <v>304150</v>
      </c>
      <c r="J23" s="38">
        <v>175</v>
      </c>
      <c r="K23" s="38">
        <v>0</v>
      </c>
      <c r="L23" s="38">
        <v>0</v>
      </c>
      <c r="M23" s="38">
        <v>0</v>
      </c>
      <c r="N23" s="38">
        <v>156930</v>
      </c>
      <c r="O23" s="38">
        <v>0</v>
      </c>
      <c r="P23" s="38">
        <v>9450</v>
      </c>
      <c r="Q23" s="38">
        <v>0</v>
      </c>
      <c r="R23" s="39">
        <v>820657</v>
      </c>
      <c r="S23" s="39">
        <v>0</v>
      </c>
      <c r="T23" s="32">
        <v>0</v>
      </c>
      <c r="U23" s="39">
        <v>0</v>
      </c>
      <c r="V23" s="38">
        <v>0</v>
      </c>
      <c r="W23" s="38">
        <f t="shared" si="0"/>
        <v>1293112</v>
      </c>
    </row>
    <row r="24" spans="1:24" ht="39" customHeight="1">
      <c r="A24" s="78"/>
      <c r="B24" s="11">
        <v>18</v>
      </c>
      <c r="C24" s="37" t="s">
        <v>23</v>
      </c>
      <c r="D24" s="38">
        <v>2650</v>
      </c>
      <c r="E24" s="38">
        <v>3905</v>
      </c>
      <c r="F24" s="38">
        <v>11115</v>
      </c>
      <c r="G24" s="38">
        <v>0</v>
      </c>
      <c r="H24" s="38">
        <v>0</v>
      </c>
      <c r="I24" s="38">
        <v>525</v>
      </c>
      <c r="J24" s="38">
        <v>5775</v>
      </c>
      <c r="K24" s="38">
        <v>2655</v>
      </c>
      <c r="L24" s="38">
        <v>0</v>
      </c>
      <c r="M24" s="38">
        <v>0</v>
      </c>
      <c r="N24" s="38">
        <v>2480</v>
      </c>
      <c r="O24" s="38">
        <v>0</v>
      </c>
      <c r="P24" s="38">
        <v>8525</v>
      </c>
      <c r="Q24" s="38">
        <v>23415</v>
      </c>
      <c r="R24" s="39">
        <v>175</v>
      </c>
      <c r="S24" s="39">
        <v>2759701</v>
      </c>
      <c r="T24" s="39">
        <v>0</v>
      </c>
      <c r="U24" s="32"/>
      <c r="V24" s="38">
        <v>0</v>
      </c>
      <c r="W24" s="38">
        <f t="shared" si="0"/>
        <v>2820921</v>
      </c>
    </row>
    <row r="25" spans="1:24" ht="39" customHeight="1">
      <c r="A25" s="78"/>
      <c r="B25" s="21">
        <v>19</v>
      </c>
      <c r="C25" s="22" t="s">
        <v>24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1055950</v>
      </c>
      <c r="P25" s="41" t="s">
        <v>27</v>
      </c>
      <c r="Q25" s="40">
        <v>0</v>
      </c>
      <c r="R25" s="42">
        <v>0</v>
      </c>
      <c r="S25" s="42">
        <v>0</v>
      </c>
      <c r="T25" s="42">
        <v>0</v>
      </c>
      <c r="U25" s="42">
        <v>0</v>
      </c>
      <c r="V25" s="43"/>
      <c r="W25" s="42">
        <f t="shared" si="0"/>
        <v>1055950</v>
      </c>
    </row>
    <row r="26" spans="1:24" ht="34.5" customHeight="1">
      <c r="A26" s="78"/>
      <c r="B26" s="79" t="s">
        <v>25</v>
      </c>
      <c r="C26" s="80"/>
      <c r="D26" s="40">
        <f t="shared" ref="D26:V26" si="1">SUM(D6:D25)</f>
        <v>331675</v>
      </c>
      <c r="E26" s="40">
        <f t="shared" si="1"/>
        <v>409225</v>
      </c>
      <c r="F26" s="40">
        <f>SUM(F6:F25)</f>
        <v>1596120</v>
      </c>
      <c r="G26" s="40">
        <f t="shared" si="1"/>
        <v>2252700</v>
      </c>
      <c r="H26" s="40">
        <f t="shared" si="1"/>
        <v>4545600</v>
      </c>
      <c r="I26" s="40">
        <f t="shared" si="1"/>
        <v>1571195</v>
      </c>
      <c r="J26" s="40">
        <f t="shared" si="1"/>
        <v>99075</v>
      </c>
      <c r="K26" s="40">
        <f t="shared" si="1"/>
        <v>34890</v>
      </c>
      <c r="L26" s="40">
        <f t="shared" si="1"/>
        <v>362707</v>
      </c>
      <c r="M26" s="40">
        <f t="shared" si="1"/>
        <v>4779554</v>
      </c>
      <c r="N26" s="40">
        <f t="shared" si="1"/>
        <v>3625215</v>
      </c>
      <c r="O26" s="40">
        <f t="shared" si="1"/>
        <v>2003017</v>
      </c>
      <c r="P26" s="40">
        <f t="shared" si="1"/>
        <v>6489038</v>
      </c>
      <c r="Q26" s="40">
        <f t="shared" si="1"/>
        <v>515366</v>
      </c>
      <c r="R26" s="40">
        <f t="shared" si="1"/>
        <v>1060872</v>
      </c>
      <c r="S26" s="40">
        <f t="shared" si="1"/>
        <v>5289212</v>
      </c>
      <c r="T26" s="40">
        <f>SUM(T6:T25)</f>
        <v>159600</v>
      </c>
      <c r="U26" s="40">
        <f t="shared" si="1"/>
        <v>77175</v>
      </c>
      <c r="V26" s="40">
        <f t="shared" si="1"/>
        <v>61425</v>
      </c>
      <c r="W26" s="43">
        <f>SUM(W6:W25)</f>
        <v>35263661</v>
      </c>
    </row>
    <row r="27" spans="1:24" ht="15.75" customHeight="1"/>
    <row r="28" spans="1:24" ht="34.5" customHeight="1">
      <c r="A28" s="102" t="s">
        <v>70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5"/>
    </row>
    <row r="29" spans="1:24" s="74" customFormat="1" ht="27.75" customHeight="1">
      <c r="A29" s="97" t="s">
        <v>29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106"/>
    </row>
    <row r="30" spans="1:24" ht="34.5" customHeight="1">
      <c r="A30" s="77" t="s">
        <v>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</row>
    <row r="31" spans="1:24" s="30" customFormat="1" ht="28.5" customHeight="1">
      <c r="A31" s="78" t="s">
        <v>2</v>
      </c>
      <c r="B31" s="75" t="s">
        <v>3</v>
      </c>
      <c r="C31" s="75" t="s">
        <v>4</v>
      </c>
      <c r="D31" s="75" t="s">
        <v>6</v>
      </c>
      <c r="E31" s="75" t="s">
        <v>7</v>
      </c>
      <c r="F31" s="75" t="s">
        <v>8</v>
      </c>
      <c r="G31" s="75" t="s">
        <v>9</v>
      </c>
      <c r="H31" s="75" t="s">
        <v>10</v>
      </c>
      <c r="I31" s="75" t="s">
        <v>11</v>
      </c>
      <c r="J31" s="75" t="s">
        <v>12</v>
      </c>
      <c r="K31" s="75" t="s">
        <v>13</v>
      </c>
      <c r="L31" s="75" t="s">
        <v>14</v>
      </c>
      <c r="M31" s="75" t="s">
        <v>15</v>
      </c>
      <c r="N31" s="75" t="s">
        <v>16</v>
      </c>
      <c r="O31" s="75" t="s">
        <v>17</v>
      </c>
      <c r="P31" s="75" t="s">
        <v>18</v>
      </c>
      <c r="Q31" s="75" t="s">
        <v>19</v>
      </c>
      <c r="R31" s="75" t="s">
        <v>20</v>
      </c>
      <c r="S31" s="75" t="s">
        <v>21</v>
      </c>
      <c r="T31" s="75" t="s">
        <v>22</v>
      </c>
      <c r="U31" s="75" t="s">
        <v>23</v>
      </c>
      <c r="V31" s="75" t="s">
        <v>24</v>
      </c>
      <c r="W31" s="75" t="s">
        <v>25</v>
      </c>
    </row>
    <row r="32" spans="1:24" s="30" customFormat="1" ht="28.5" customHeight="1">
      <c r="A32" s="78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1:23" ht="39" hidden="1" customHeight="1">
      <c r="A33" s="78"/>
      <c r="B33" s="73">
        <v>1</v>
      </c>
      <c r="C33" s="28" t="s">
        <v>5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>
        <f t="shared" ref="W33:W52" si="2">SUM((D33:V33))</f>
        <v>0</v>
      </c>
    </row>
    <row r="34" spans="1:23" ht="39" customHeight="1">
      <c r="A34" s="78"/>
      <c r="B34" s="11">
        <v>1</v>
      </c>
      <c r="C34" s="12" t="s">
        <v>6</v>
      </c>
      <c r="D34" s="32"/>
      <c r="E34" s="17">
        <v>9100</v>
      </c>
      <c r="F34" s="17">
        <v>1255</v>
      </c>
      <c r="G34" s="17">
        <v>0</v>
      </c>
      <c r="H34" s="17">
        <v>0</v>
      </c>
      <c r="I34" s="17">
        <v>0</v>
      </c>
      <c r="J34" s="17">
        <v>1225</v>
      </c>
      <c r="K34" s="17">
        <f>3180-350</f>
        <v>2830</v>
      </c>
      <c r="L34" s="17">
        <v>0</v>
      </c>
      <c r="M34" s="17">
        <f>3231850-264050</f>
        <v>2967800</v>
      </c>
      <c r="N34" s="17">
        <v>0</v>
      </c>
      <c r="O34" s="17">
        <f>9975-8850</f>
        <v>1125</v>
      </c>
      <c r="P34" s="17">
        <f>4900-1650</f>
        <v>3250</v>
      </c>
      <c r="Q34" s="17">
        <v>0</v>
      </c>
      <c r="R34" s="17">
        <v>0</v>
      </c>
      <c r="S34" s="17">
        <f>9425-1750</f>
        <v>7675</v>
      </c>
      <c r="T34" s="17">
        <f>525-350</f>
        <v>175</v>
      </c>
      <c r="U34" s="17">
        <v>0</v>
      </c>
      <c r="V34" s="17">
        <v>0</v>
      </c>
      <c r="W34" s="16">
        <f t="shared" si="2"/>
        <v>2994435</v>
      </c>
    </row>
    <row r="35" spans="1:23" ht="39" customHeight="1">
      <c r="A35" s="78"/>
      <c r="B35" s="11">
        <v>2</v>
      </c>
      <c r="C35" s="12" t="s">
        <v>26</v>
      </c>
      <c r="D35" s="17">
        <v>0</v>
      </c>
      <c r="E35" s="32"/>
      <c r="F35" s="17">
        <v>0</v>
      </c>
      <c r="G35" s="17">
        <v>0</v>
      </c>
      <c r="H35" s="17">
        <v>0</v>
      </c>
      <c r="I35" s="17">
        <v>0</v>
      </c>
      <c r="J35" s="17">
        <v>300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94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175</v>
      </c>
      <c r="W35" s="16">
        <f t="shared" si="2"/>
        <v>475</v>
      </c>
    </row>
    <row r="36" spans="1:23" ht="39" customHeight="1">
      <c r="A36" s="78"/>
      <c r="B36" s="11">
        <v>3</v>
      </c>
      <c r="C36" s="12" t="s">
        <v>8</v>
      </c>
      <c r="D36" s="17">
        <v>0</v>
      </c>
      <c r="E36" s="17">
        <v>0</v>
      </c>
      <c r="F36" s="32"/>
      <c r="G36" s="17">
        <v>0</v>
      </c>
      <c r="H36" s="17">
        <f>745805-537150</f>
        <v>208655</v>
      </c>
      <c r="I36" s="17">
        <v>0</v>
      </c>
      <c r="J36" s="17">
        <v>0</v>
      </c>
      <c r="K36" s="17">
        <v>0</v>
      </c>
      <c r="L36" s="17">
        <f>312007-275655</f>
        <v>36352</v>
      </c>
      <c r="M36" s="17">
        <v>0</v>
      </c>
      <c r="N36" s="17">
        <v>0</v>
      </c>
      <c r="O36" s="17">
        <v>0</v>
      </c>
      <c r="P36" s="94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175</v>
      </c>
      <c r="W36" s="16">
        <f t="shared" si="2"/>
        <v>245182</v>
      </c>
    </row>
    <row r="37" spans="1:23" ht="39" customHeight="1">
      <c r="A37" s="78"/>
      <c r="B37" s="11">
        <v>4</v>
      </c>
      <c r="C37" s="12" t="s">
        <v>9</v>
      </c>
      <c r="D37" s="17">
        <f>8450-1225</f>
        <v>7225</v>
      </c>
      <c r="E37" s="17">
        <v>12475</v>
      </c>
      <c r="F37" s="17">
        <v>18325</v>
      </c>
      <c r="G37" s="32"/>
      <c r="H37" s="17">
        <v>0</v>
      </c>
      <c r="I37" s="17">
        <f>9650-7350</f>
        <v>2300</v>
      </c>
      <c r="J37" s="17">
        <v>14175</v>
      </c>
      <c r="K37" s="17">
        <v>1750</v>
      </c>
      <c r="L37" s="17">
        <v>0</v>
      </c>
      <c r="M37" s="17">
        <v>0</v>
      </c>
      <c r="N37" s="17">
        <v>0</v>
      </c>
      <c r="O37" s="17">
        <v>0</v>
      </c>
      <c r="P37" s="17">
        <f>5300308-54625</f>
        <v>5245683</v>
      </c>
      <c r="Q37" s="17">
        <v>0</v>
      </c>
      <c r="R37" s="17">
        <v>0</v>
      </c>
      <c r="S37" s="17">
        <f>58925-25900</f>
        <v>33025</v>
      </c>
      <c r="T37" s="17">
        <v>2275</v>
      </c>
      <c r="U37" s="93">
        <v>1925</v>
      </c>
      <c r="V37" s="17">
        <v>4025</v>
      </c>
      <c r="W37" s="16">
        <f t="shared" si="2"/>
        <v>5343183</v>
      </c>
    </row>
    <row r="38" spans="1:23" ht="39" customHeight="1">
      <c r="A38" s="78"/>
      <c r="B38" s="11">
        <v>5</v>
      </c>
      <c r="C38" s="12" t="s">
        <v>10</v>
      </c>
      <c r="D38" s="17">
        <f>8675-1050</f>
        <v>7625</v>
      </c>
      <c r="E38" s="17">
        <f>8400-5075</f>
        <v>3325</v>
      </c>
      <c r="F38" s="17">
        <v>0</v>
      </c>
      <c r="G38" s="17">
        <f>27200-13850</f>
        <v>13350</v>
      </c>
      <c r="H38" s="32"/>
      <c r="I38" s="17">
        <f>6725-1925</f>
        <v>4800</v>
      </c>
      <c r="J38" s="17">
        <v>11725</v>
      </c>
      <c r="K38" s="17">
        <v>8050</v>
      </c>
      <c r="L38" s="17">
        <v>0</v>
      </c>
      <c r="M38" s="17">
        <v>0</v>
      </c>
      <c r="N38" s="17">
        <v>0</v>
      </c>
      <c r="O38" s="17">
        <f>393172-355225</f>
        <v>37947</v>
      </c>
      <c r="P38" s="17">
        <f>22175-3675</f>
        <v>18500</v>
      </c>
      <c r="Q38" s="17">
        <v>0</v>
      </c>
      <c r="R38" s="17">
        <v>0</v>
      </c>
      <c r="S38" s="17">
        <f>1040754-129325</f>
        <v>911429</v>
      </c>
      <c r="T38" s="17">
        <v>0</v>
      </c>
      <c r="U38" s="17">
        <v>5250</v>
      </c>
      <c r="V38" s="17">
        <v>1400</v>
      </c>
      <c r="W38" s="16">
        <f t="shared" si="2"/>
        <v>1023401</v>
      </c>
    </row>
    <row r="39" spans="1:23" ht="39" customHeight="1">
      <c r="A39" s="78"/>
      <c r="B39" s="11">
        <v>6</v>
      </c>
      <c r="C39" s="12" t="s">
        <v>11</v>
      </c>
      <c r="D39" s="17">
        <f>2100-525</f>
        <v>1575</v>
      </c>
      <c r="E39" s="17">
        <f>2800-525</f>
        <v>2275</v>
      </c>
      <c r="F39" s="17">
        <v>3355</v>
      </c>
      <c r="G39" s="17">
        <v>0</v>
      </c>
      <c r="H39" s="17">
        <v>0</v>
      </c>
      <c r="I39" s="32"/>
      <c r="J39" s="17">
        <v>1225</v>
      </c>
      <c r="K39" s="17">
        <v>525</v>
      </c>
      <c r="L39" s="17">
        <v>0</v>
      </c>
      <c r="M39" s="17">
        <f>97300-8125</f>
        <v>89175</v>
      </c>
      <c r="N39" s="17">
        <f>2369663-89425</f>
        <v>2280238</v>
      </c>
      <c r="O39" s="17">
        <f>8925-8225</f>
        <v>700</v>
      </c>
      <c r="P39" s="17">
        <f>37625-2050</f>
        <v>35575</v>
      </c>
      <c r="Q39" s="17">
        <f>1225-1050</f>
        <v>175</v>
      </c>
      <c r="R39" s="17">
        <v>0</v>
      </c>
      <c r="S39" s="17">
        <f>15050-525</f>
        <v>14525</v>
      </c>
      <c r="T39" s="17">
        <v>0</v>
      </c>
      <c r="U39" s="17">
        <f>875-525</f>
        <v>350</v>
      </c>
      <c r="V39" s="17">
        <v>0</v>
      </c>
      <c r="W39" s="16">
        <f t="shared" si="2"/>
        <v>2429693</v>
      </c>
    </row>
    <row r="40" spans="1:23" ht="39" customHeight="1">
      <c r="A40" s="78"/>
      <c r="B40" s="11">
        <v>7</v>
      </c>
      <c r="C40" s="12" t="s">
        <v>12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32"/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96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6">
        <f t="shared" si="2"/>
        <v>0</v>
      </c>
    </row>
    <row r="41" spans="1:23" ht="39" customHeight="1">
      <c r="A41" s="78"/>
      <c r="B41" s="11">
        <v>8</v>
      </c>
      <c r="C41" s="12" t="s">
        <v>13</v>
      </c>
      <c r="D41" s="17">
        <v>0</v>
      </c>
      <c r="E41" s="17">
        <v>350</v>
      </c>
      <c r="F41" s="17">
        <v>0</v>
      </c>
      <c r="G41" s="17">
        <v>0</v>
      </c>
      <c r="H41" s="17">
        <v>0</v>
      </c>
      <c r="I41" s="17">
        <v>0</v>
      </c>
      <c r="J41" s="17">
        <v>1575</v>
      </c>
      <c r="K41" s="32"/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f>1750-875</f>
        <v>875</v>
      </c>
      <c r="T41" s="17">
        <v>175</v>
      </c>
      <c r="U41" s="17">
        <v>0</v>
      </c>
      <c r="V41" s="17">
        <v>0</v>
      </c>
      <c r="W41" s="16">
        <f t="shared" si="2"/>
        <v>2975</v>
      </c>
    </row>
    <row r="42" spans="1:23" ht="39" customHeight="1">
      <c r="A42" s="78"/>
      <c r="B42" s="11">
        <v>9</v>
      </c>
      <c r="C42" s="12" t="s">
        <v>14</v>
      </c>
      <c r="D42" s="17">
        <f>2100-175-400</f>
        <v>1525</v>
      </c>
      <c r="E42" s="17">
        <f>3600-1050</f>
        <v>2550</v>
      </c>
      <c r="F42" s="17">
        <v>0</v>
      </c>
      <c r="G42" s="17">
        <f>2700-525-1000</f>
        <v>1175</v>
      </c>
      <c r="H42" s="17">
        <f>2565160-36700</f>
        <v>2528460</v>
      </c>
      <c r="I42" s="17">
        <f>1550-1225</f>
        <v>325</v>
      </c>
      <c r="J42" s="17">
        <f>2675-175</f>
        <v>2500</v>
      </c>
      <c r="K42" s="17">
        <f>875-0</f>
        <v>875</v>
      </c>
      <c r="L42" s="32"/>
      <c r="M42" s="17">
        <v>0</v>
      </c>
      <c r="N42" s="17">
        <f>1815-615</f>
        <v>1200</v>
      </c>
      <c r="O42" s="17">
        <f>35275-11725-5425</f>
        <v>18125</v>
      </c>
      <c r="P42" s="17">
        <f>1930-1400</f>
        <v>530</v>
      </c>
      <c r="Q42" s="17">
        <f>4221-0-1575</f>
        <v>2646</v>
      </c>
      <c r="R42" s="17">
        <v>0</v>
      </c>
      <c r="S42" s="17">
        <f>32280-4025-525</f>
        <v>27730</v>
      </c>
      <c r="T42" s="17">
        <v>0</v>
      </c>
      <c r="U42" s="17">
        <f>2800-2800</f>
        <v>0</v>
      </c>
      <c r="V42" s="17">
        <f>175-0</f>
        <v>175</v>
      </c>
      <c r="W42" s="16">
        <f t="shared" si="2"/>
        <v>2587816</v>
      </c>
    </row>
    <row r="43" spans="1:23" ht="39" customHeight="1">
      <c r="A43" s="78"/>
      <c r="B43" s="11">
        <v>10</v>
      </c>
      <c r="C43" s="12" t="s">
        <v>15</v>
      </c>
      <c r="D43" s="17">
        <v>0</v>
      </c>
      <c r="E43" s="17">
        <v>291580</v>
      </c>
      <c r="F43" s="17">
        <v>14580</v>
      </c>
      <c r="G43" s="17">
        <f>35500-9596</f>
        <v>25904</v>
      </c>
      <c r="H43" s="17">
        <f>25850-4450</f>
        <v>21400</v>
      </c>
      <c r="I43" s="17">
        <v>0</v>
      </c>
      <c r="J43" s="17">
        <v>7750</v>
      </c>
      <c r="K43" s="17">
        <v>1750</v>
      </c>
      <c r="L43" s="17">
        <f>4025-175</f>
        <v>3850</v>
      </c>
      <c r="M43" s="32"/>
      <c r="N43" s="17">
        <v>0</v>
      </c>
      <c r="O43" s="17">
        <v>38255</v>
      </c>
      <c r="P43" s="17">
        <f>97625-6125</f>
        <v>91500</v>
      </c>
      <c r="Q43" s="17">
        <v>7760</v>
      </c>
      <c r="R43" s="17">
        <f>15150-1350</f>
        <v>13800</v>
      </c>
      <c r="S43" s="17">
        <v>31902</v>
      </c>
      <c r="T43" s="17">
        <v>2450</v>
      </c>
      <c r="U43" s="17">
        <v>700</v>
      </c>
      <c r="V43" s="17">
        <v>525</v>
      </c>
      <c r="W43" s="16">
        <f t="shared" si="2"/>
        <v>553706</v>
      </c>
    </row>
    <row r="44" spans="1:23" ht="39" customHeight="1">
      <c r="A44" s="78"/>
      <c r="B44" s="11">
        <v>11</v>
      </c>
      <c r="C44" s="12" t="s">
        <v>16</v>
      </c>
      <c r="D44" s="17">
        <f>17150-11435</f>
        <v>5715</v>
      </c>
      <c r="E44" s="17">
        <v>18575</v>
      </c>
      <c r="F44" s="17">
        <v>9280</v>
      </c>
      <c r="G44" s="17">
        <f>509350-117207</f>
        <v>392143</v>
      </c>
      <c r="H44" s="17">
        <f>24150-12825</f>
        <v>11325</v>
      </c>
      <c r="I44" s="17">
        <v>0</v>
      </c>
      <c r="J44" s="17">
        <v>5575</v>
      </c>
      <c r="K44" s="17">
        <f>2275-350</f>
        <v>1925</v>
      </c>
      <c r="L44" s="17">
        <v>0</v>
      </c>
      <c r="M44" s="17">
        <f>1428708-254190</f>
        <v>1174518</v>
      </c>
      <c r="N44" s="32"/>
      <c r="O44" s="17">
        <f>26080-24880</f>
        <v>1200</v>
      </c>
      <c r="P44" s="17">
        <f>906675-147300</f>
        <v>759375</v>
      </c>
      <c r="Q44" s="17">
        <f>6190-6125</f>
        <v>65</v>
      </c>
      <c r="R44" s="17">
        <v>0</v>
      </c>
      <c r="S44" s="17">
        <f>71700-905</f>
        <v>70795</v>
      </c>
      <c r="T44" s="17">
        <v>0</v>
      </c>
      <c r="U44" s="17">
        <f>22225-2480</f>
        <v>19745</v>
      </c>
      <c r="V44" s="17">
        <v>875</v>
      </c>
      <c r="W44" s="16">
        <f t="shared" si="2"/>
        <v>2471111</v>
      </c>
    </row>
    <row r="45" spans="1:23" ht="39" customHeight="1">
      <c r="A45" s="78"/>
      <c r="B45" s="11">
        <v>12</v>
      </c>
      <c r="C45" s="12" t="s">
        <v>17</v>
      </c>
      <c r="D45" s="17">
        <v>0</v>
      </c>
      <c r="E45" s="17">
        <v>26925</v>
      </c>
      <c r="F45" s="17">
        <v>632875</v>
      </c>
      <c r="G45" s="17">
        <f>1435200-189205</f>
        <v>1245995</v>
      </c>
      <c r="H45" s="17">
        <v>0</v>
      </c>
      <c r="I45" s="17">
        <v>0</v>
      </c>
      <c r="J45" s="17">
        <v>21175</v>
      </c>
      <c r="K45" s="17">
        <f>8750-3355</f>
        <v>5395</v>
      </c>
      <c r="L45" s="17">
        <v>0</v>
      </c>
      <c r="M45" s="17">
        <v>0</v>
      </c>
      <c r="N45" s="17">
        <v>0</v>
      </c>
      <c r="O45" s="32"/>
      <c r="P45" s="17">
        <f>36625-18675</f>
        <v>17950</v>
      </c>
      <c r="Q45" s="17">
        <f>47425-41150</f>
        <v>6275</v>
      </c>
      <c r="R45" s="17">
        <v>0</v>
      </c>
      <c r="S45" s="17">
        <f>1000000-153425</f>
        <v>846575</v>
      </c>
      <c r="T45" s="17">
        <v>4375</v>
      </c>
      <c r="U45" s="17">
        <v>7000</v>
      </c>
      <c r="V45" s="17">
        <v>0</v>
      </c>
      <c r="W45" s="16">
        <f t="shared" si="2"/>
        <v>2814540</v>
      </c>
    </row>
    <row r="46" spans="1:23" ht="39" customHeight="1">
      <c r="A46" s="78"/>
      <c r="B46" s="11">
        <v>13</v>
      </c>
      <c r="C46" s="12" t="s">
        <v>18</v>
      </c>
      <c r="D46" s="17">
        <v>0</v>
      </c>
      <c r="E46" s="17">
        <v>15400</v>
      </c>
      <c r="F46" s="17">
        <v>8730</v>
      </c>
      <c r="G46" s="17">
        <v>0</v>
      </c>
      <c r="H46" s="17">
        <v>0</v>
      </c>
      <c r="I46" s="17">
        <v>0</v>
      </c>
      <c r="J46" s="17">
        <v>7015</v>
      </c>
      <c r="K46" s="17">
        <f>850-700</f>
        <v>150</v>
      </c>
      <c r="L46" s="94">
        <v>0</v>
      </c>
      <c r="M46" s="17">
        <v>0</v>
      </c>
      <c r="N46" s="17">
        <v>0</v>
      </c>
      <c r="O46" s="17">
        <v>0</v>
      </c>
      <c r="P46" s="32"/>
      <c r="Q46" s="17">
        <v>0</v>
      </c>
      <c r="R46" s="17">
        <v>0</v>
      </c>
      <c r="S46" s="17">
        <f>25900-9975</f>
        <v>15925</v>
      </c>
      <c r="T46" s="17">
        <v>0</v>
      </c>
      <c r="U46" s="17">
        <v>0</v>
      </c>
      <c r="V46" s="94">
        <v>0</v>
      </c>
      <c r="W46" s="16">
        <f t="shared" si="2"/>
        <v>47220</v>
      </c>
    </row>
    <row r="47" spans="1:23" ht="39" customHeight="1">
      <c r="A47" s="78"/>
      <c r="B47" s="11">
        <v>14</v>
      </c>
      <c r="C47" s="12" t="s">
        <v>19</v>
      </c>
      <c r="D47" s="17">
        <f>3500-350</f>
        <v>3150</v>
      </c>
      <c r="E47" s="17">
        <f>1925-525</f>
        <v>1400</v>
      </c>
      <c r="F47" s="17">
        <v>72950</v>
      </c>
      <c r="G47" s="17">
        <f>17675-14470</f>
        <v>3205</v>
      </c>
      <c r="H47" s="17">
        <f>662960-398410</f>
        <v>264550</v>
      </c>
      <c r="I47" s="17">
        <v>0</v>
      </c>
      <c r="J47" s="17">
        <v>5805</v>
      </c>
      <c r="K47" s="17">
        <f>1955-875</f>
        <v>1080</v>
      </c>
      <c r="L47" s="17">
        <v>0</v>
      </c>
      <c r="M47" s="17">
        <v>0</v>
      </c>
      <c r="N47" s="17">
        <v>0</v>
      </c>
      <c r="O47" s="17">
        <v>0</v>
      </c>
      <c r="P47" s="17">
        <f>2100-350</f>
        <v>1750</v>
      </c>
      <c r="Q47" s="32"/>
      <c r="R47" s="17">
        <f>4055-2975</f>
        <v>1080</v>
      </c>
      <c r="S47" s="17">
        <f>204325-7175</f>
        <v>197150</v>
      </c>
      <c r="T47" s="17">
        <v>1750</v>
      </c>
      <c r="U47" s="17">
        <f>23450-23415</f>
        <v>35</v>
      </c>
      <c r="V47" s="17">
        <v>525</v>
      </c>
      <c r="W47" s="16">
        <f t="shared" si="2"/>
        <v>554430</v>
      </c>
    </row>
    <row r="48" spans="1:23" ht="39" customHeight="1">
      <c r="A48" s="78"/>
      <c r="B48" s="11">
        <v>15</v>
      </c>
      <c r="C48" s="12" t="s">
        <v>20</v>
      </c>
      <c r="D48" s="17">
        <f>10225-2275</f>
        <v>7950</v>
      </c>
      <c r="E48" s="17">
        <v>9100</v>
      </c>
      <c r="F48" s="17">
        <f>6650-905</f>
        <v>5745</v>
      </c>
      <c r="G48" s="17">
        <f>136500-62110</f>
        <v>74390</v>
      </c>
      <c r="H48" s="17">
        <f>11550-10950</f>
        <v>600</v>
      </c>
      <c r="I48" s="17">
        <f>1139370-14875</f>
        <v>1124495</v>
      </c>
      <c r="J48" s="17">
        <v>10105</v>
      </c>
      <c r="K48" s="17">
        <v>1400</v>
      </c>
      <c r="L48" s="17">
        <f>1050-875</f>
        <v>175</v>
      </c>
      <c r="M48" s="17">
        <v>0</v>
      </c>
      <c r="N48" s="17">
        <f>519725-100365</f>
        <v>419360</v>
      </c>
      <c r="O48" s="17">
        <f>41300-22780</f>
        <v>18520</v>
      </c>
      <c r="P48" s="17">
        <f>51825-5350</f>
        <v>46475</v>
      </c>
      <c r="Q48" s="17">
        <v>0</v>
      </c>
      <c r="R48" s="32"/>
      <c r="S48" s="17">
        <f>41525-350</f>
        <v>41175</v>
      </c>
      <c r="T48" s="17">
        <v>0</v>
      </c>
      <c r="U48" s="17">
        <f>2100-175</f>
        <v>1925</v>
      </c>
      <c r="V48" s="17">
        <v>175</v>
      </c>
      <c r="W48" s="16">
        <f t="shared" si="2"/>
        <v>1761590</v>
      </c>
    </row>
    <row r="49" spans="1:23" ht="39" customHeight="1">
      <c r="A49" s="78"/>
      <c r="B49" s="11">
        <v>16</v>
      </c>
      <c r="C49" s="37" t="s">
        <v>21</v>
      </c>
      <c r="D49" s="39">
        <v>0</v>
      </c>
      <c r="E49" s="39">
        <v>5615</v>
      </c>
      <c r="F49" s="39">
        <v>3325</v>
      </c>
      <c r="G49" s="39">
        <v>0</v>
      </c>
      <c r="H49" s="39">
        <v>0</v>
      </c>
      <c r="I49" s="39">
        <v>0</v>
      </c>
      <c r="J49" s="39">
        <v>2975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2"/>
      <c r="T49" s="39">
        <v>175</v>
      </c>
      <c r="U49" s="39">
        <v>0</v>
      </c>
      <c r="V49" s="39">
        <v>44275</v>
      </c>
      <c r="W49" s="38">
        <f t="shared" si="2"/>
        <v>56365</v>
      </c>
    </row>
    <row r="50" spans="1:23" ht="39" customHeight="1">
      <c r="A50" s="78"/>
      <c r="B50" s="11">
        <v>17</v>
      </c>
      <c r="C50" s="37" t="s">
        <v>22</v>
      </c>
      <c r="D50" s="39">
        <v>0</v>
      </c>
      <c r="E50" s="39">
        <v>525</v>
      </c>
      <c r="F50" s="39">
        <v>875</v>
      </c>
      <c r="G50" s="39">
        <v>0</v>
      </c>
      <c r="H50" s="39">
        <v>0</v>
      </c>
      <c r="I50" s="39">
        <f>304150-17325</f>
        <v>286825</v>
      </c>
      <c r="J50" s="39">
        <v>175</v>
      </c>
      <c r="K50" s="39">
        <v>0</v>
      </c>
      <c r="L50" s="39">
        <v>0</v>
      </c>
      <c r="M50" s="39">
        <v>0</v>
      </c>
      <c r="N50" s="39">
        <f>156930-56000</f>
        <v>100930</v>
      </c>
      <c r="O50" s="39">
        <v>0</v>
      </c>
      <c r="P50" s="39">
        <f>9450-1575</f>
        <v>7875</v>
      </c>
      <c r="Q50" s="39">
        <v>0</v>
      </c>
      <c r="R50" s="39">
        <f>820657-72975</f>
        <v>747682</v>
      </c>
      <c r="S50" s="39">
        <v>0</v>
      </c>
      <c r="T50" s="32">
        <v>0</v>
      </c>
      <c r="U50" s="39">
        <v>0</v>
      </c>
      <c r="V50" s="38">
        <v>0</v>
      </c>
      <c r="W50" s="38">
        <f t="shared" si="2"/>
        <v>1144887</v>
      </c>
    </row>
    <row r="51" spans="1:23" ht="39" customHeight="1">
      <c r="A51" s="78"/>
      <c r="B51" s="11">
        <v>18</v>
      </c>
      <c r="C51" s="37" t="s">
        <v>23</v>
      </c>
      <c r="D51" s="39">
        <f>2650-350</f>
        <v>2300</v>
      </c>
      <c r="E51" s="39">
        <f>3905-350</f>
        <v>3555</v>
      </c>
      <c r="F51" s="39">
        <v>11115</v>
      </c>
      <c r="G51" s="39">
        <v>0</v>
      </c>
      <c r="H51" s="39">
        <v>0</v>
      </c>
      <c r="I51" s="39">
        <v>0</v>
      </c>
      <c r="J51" s="39">
        <v>5775</v>
      </c>
      <c r="K51" s="39">
        <f>2655-350</f>
        <v>2305</v>
      </c>
      <c r="L51" s="39">
        <v>0</v>
      </c>
      <c r="M51" s="39">
        <v>0</v>
      </c>
      <c r="N51" s="39">
        <v>0</v>
      </c>
      <c r="O51" s="39">
        <v>0</v>
      </c>
      <c r="P51" s="39">
        <f>8525-525</f>
        <v>8000</v>
      </c>
      <c r="Q51" s="39">
        <v>0</v>
      </c>
      <c r="R51" s="39">
        <v>0</v>
      </c>
      <c r="S51" s="39">
        <f>2759701-12075</f>
        <v>2747626</v>
      </c>
      <c r="T51" s="39">
        <v>0</v>
      </c>
      <c r="U51" s="32"/>
      <c r="V51" s="38">
        <v>0</v>
      </c>
      <c r="W51" s="38">
        <f t="shared" si="2"/>
        <v>2780676</v>
      </c>
    </row>
    <row r="52" spans="1:23" ht="39" customHeight="1">
      <c r="A52" s="78"/>
      <c r="B52" s="21">
        <v>19</v>
      </c>
      <c r="C52" s="22" t="s">
        <v>24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f>1055950-9100</f>
        <v>1046850</v>
      </c>
      <c r="P52" s="95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3"/>
      <c r="W52" s="42">
        <f t="shared" si="2"/>
        <v>1046850</v>
      </c>
    </row>
    <row r="53" spans="1:23" ht="39" customHeight="1">
      <c r="A53" s="78"/>
      <c r="B53" s="79" t="s">
        <v>25</v>
      </c>
      <c r="C53" s="80"/>
      <c r="D53" s="42">
        <f>SUM(D33:D52)</f>
        <v>37065</v>
      </c>
      <c r="E53" s="42">
        <f>SUM(E33:E52)</f>
        <v>402750</v>
      </c>
      <c r="F53" s="42">
        <f>SUM(F33:F52)</f>
        <v>782410</v>
      </c>
      <c r="G53" s="42">
        <f>SUM(G33:G52)</f>
        <v>1756162</v>
      </c>
      <c r="H53" s="42">
        <f>SUM(H33:H52)</f>
        <v>3034990</v>
      </c>
      <c r="I53" s="42">
        <f>SUM(I33:I52)</f>
        <v>1418745</v>
      </c>
      <c r="J53" s="42">
        <f>SUM(J33:J52)</f>
        <v>99075</v>
      </c>
      <c r="K53" s="42">
        <f>SUM(K33:K52)</f>
        <v>28035</v>
      </c>
      <c r="L53" s="42">
        <f>SUM(L33:L52)</f>
        <v>40377</v>
      </c>
      <c r="M53" s="42">
        <f>SUM(M33:M52)</f>
        <v>4231493</v>
      </c>
      <c r="N53" s="42">
        <f>SUM(N33:N52)</f>
        <v>2801728</v>
      </c>
      <c r="O53" s="42">
        <f>SUM(O33:O52)</f>
        <v>1162722</v>
      </c>
      <c r="P53" s="42">
        <f>SUM(P33:P52)</f>
        <v>6236463</v>
      </c>
      <c r="Q53" s="42">
        <f>SUM(Q33:Q52)</f>
        <v>16921</v>
      </c>
      <c r="R53" s="42">
        <f>SUM(R33:R52)</f>
        <v>762562</v>
      </c>
      <c r="S53" s="42">
        <f>SUM(S33:S52)</f>
        <v>4946407</v>
      </c>
      <c r="T53" s="42">
        <f>SUM(T33:T52)</f>
        <v>11375</v>
      </c>
      <c r="U53" s="42">
        <f>SUM(U33:U52)</f>
        <v>36930</v>
      </c>
      <c r="V53" s="42">
        <f>SUM(V33:V52)</f>
        <v>52325</v>
      </c>
      <c r="W53" s="43">
        <f>SUM(W33:W52)</f>
        <v>27858535</v>
      </c>
    </row>
    <row r="57" spans="1:23">
      <c r="W57" s="27"/>
    </row>
  </sheetData>
  <mergeCells count="54">
    <mergeCell ref="A28:W28"/>
    <mergeCell ref="A29:W29"/>
    <mergeCell ref="T31:T32"/>
    <mergeCell ref="U31:U32"/>
    <mergeCell ref="V31:V32"/>
    <mergeCell ref="W31:W32"/>
    <mergeCell ref="B53:C53"/>
    <mergeCell ref="O31:O32"/>
    <mergeCell ref="P31:P32"/>
    <mergeCell ref="Q31:Q32"/>
    <mergeCell ref="R31:R32"/>
    <mergeCell ref="S31:S32"/>
    <mergeCell ref="A30:W30"/>
    <mergeCell ref="A31:A53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A1:W1"/>
    <mergeCell ref="A2:W2"/>
    <mergeCell ref="A3:W3"/>
    <mergeCell ref="A4:A26"/>
    <mergeCell ref="B4:B5"/>
    <mergeCell ref="C4:C5"/>
    <mergeCell ref="D4:D5"/>
    <mergeCell ref="E4:E5"/>
    <mergeCell ref="F4:F5"/>
    <mergeCell ref="G4:G5"/>
    <mergeCell ref="T4:T5"/>
    <mergeCell ref="U4:U5"/>
    <mergeCell ref="V4:V5"/>
    <mergeCell ref="W4:W5"/>
    <mergeCell ref="B26:C26"/>
    <mergeCell ref="N4:N5"/>
    <mergeCell ref="R4:R5"/>
    <mergeCell ref="S4:S5"/>
    <mergeCell ref="H4:H5"/>
    <mergeCell ref="I4:I5"/>
    <mergeCell ref="J4:J5"/>
    <mergeCell ref="K4:K5"/>
    <mergeCell ref="O4:O5"/>
    <mergeCell ref="P4:P5"/>
    <mergeCell ref="Q4:Q5"/>
    <mergeCell ref="L4:L5"/>
    <mergeCell ref="M4:M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29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2"/>
  <sheetViews>
    <sheetView topLeftCell="A25" zoomScale="50" zoomScaleNormal="50" workbookViewId="0">
      <selection activeCell="A28" sqref="A28:XFD29"/>
    </sheetView>
  </sheetViews>
  <sheetFormatPr defaultRowHeight="24.75"/>
  <cols>
    <col min="1" max="1" width="6.625" style="10" customWidth="1"/>
    <col min="2" max="2" width="9.125" style="10" customWidth="1"/>
    <col min="3" max="3" width="21.875" style="10" customWidth="1"/>
    <col min="4" max="4" width="15.875" style="10" hidden="1" customWidth="1"/>
    <col min="5" max="7" width="20.125" style="10" customWidth="1"/>
    <col min="8" max="8" width="19.875" style="10" customWidth="1"/>
    <col min="9" max="9" width="23.125" style="10" bestFit="1" customWidth="1"/>
    <col min="10" max="10" width="20.125" style="10" bestFit="1" customWidth="1"/>
    <col min="11" max="11" width="18.375" style="10" customWidth="1"/>
    <col min="12" max="12" width="20.125" style="10" customWidth="1"/>
    <col min="13" max="13" width="20.125" style="10" bestFit="1" customWidth="1"/>
    <col min="14" max="14" width="23.125" style="10" bestFit="1" customWidth="1"/>
    <col min="15" max="15" width="20.125" style="10" bestFit="1" customWidth="1"/>
    <col min="16" max="16" width="22.625" style="10" customWidth="1"/>
    <col min="17" max="17" width="20.125" style="20" bestFit="1" customWidth="1"/>
    <col min="18" max="18" width="20.125" style="10" customWidth="1"/>
    <col min="19" max="19" width="19.875" style="10" customWidth="1"/>
    <col min="20" max="20" width="22.125" style="10" customWidth="1"/>
    <col min="21" max="21" width="18.625" style="10" customWidth="1"/>
    <col min="22" max="22" width="17.375" style="10" customWidth="1"/>
    <col min="23" max="23" width="19.125" style="10" customWidth="1"/>
    <col min="24" max="24" width="24.875" style="10" bestFit="1" customWidth="1"/>
    <col min="25" max="255" width="9" style="10"/>
    <col min="256" max="256" width="5.25" style="10" customWidth="1"/>
    <col min="257" max="257" width="6.625" style="10" customWidth="1"/>
    <col min="258" max="258" width="22.625" style="10" customWidth="1"/>
    <col min="259" max="259" width="23.125" style="10" customWidth="1"/>
    <col min="260" max="260" width="16.625" style="10" customWidth="1"/>
    <col min="261" max="261" width="19.75" style="10" customWidth="1"/>
    <col min="262" max="262" width="20" style="10" customWidth="1"/>
    <col min="263" max="263" width="22.125" style="10" customWidth="1"/>
    <col min="264" max="264" width="22.875" style="10" customWidth="1"/>
    <col min="265" max="266" width="22.625" style="10" customWidth="1"/>
    <col min="267" max="267" width="20" style="10" customWidth="1"/>
    <col min="268" max="268" width="19.375" style="10" customWidth="1"/>
    <col min="269" max="269" width="19.75" style="10" customWidth="1"/>
    <col min="270" max="271" width="22.375" style="10" customWidth="1"/>
    <col min="272" max="272" width="23.125" style="10" customWidth="1"/>
    <col min="273" max="273" width="22.625" style="10" customWidth="1"/>
    <col min="274" max="274" width="19.5" style="10" customWidth="1"/>
    <col min="275" max="275" width="22.625" style="10" customWidth="1"/>
    <col min="276" max="276" width="22.375" style="10" customWidth="1"/>
    <col min="277" max="277" width="20.25" style="10" customWidth="1"/>
    <col min="278" max="279" width="19.75" style="10" customWidth="1"/>
    <col min="280" max="280" width="25.125" style="10" customWidth="1"/>
    <col min="281" max="511" width="9" style="10"/>
    <col min="512" max="512" width="5.25" style="10" customWidth="1"/>
    <col min="513" max="513" width="6.625" style="10" customWidth="1"/>
    <col min="514" max="514" width="22.625" style="10" customWidth="1"/>
    <col min="515" max="515" width="23.125" style="10" customWidth="1"/>
    <col min="516" max="516" width="16.625" style="10" customWidth="1"/>
    <col min="517" max="517" width="19.75" style="10" customWidth="1"/>
    <col min="518" max="518" width="20" style="10" customWidth="1"/>
    <col min="519" max="519" width="22.125" style="10" customWidth="1"/>
    <col min="520" max="520" width="22.875" style="10" customWidth="1"/>
    <col min="521" max="522" width="22.625" style="10" customWidth="1"/>
    <col min="523" max="523" width="20" style="10" customWidth="1"/>
    <col min="524" max="524" width="19.375" style="10" customWidth="1"/>
    <col min="525" max="525" width="19.75" style="10" customWidth="1"/>
    <col min="526" max="527" width="22.375" style="10" customWidth="1"/>
    <col min="528" max="528" width="23.125" style="10" customWidth="1"/>
    <col min="529" max="529" width="22.625" style="10" customWidth="1"/>
    <col min="530" max="530" width="19.5" style="10" customWidth="1"/>
    <col min="531" max="531" width="22.625" style="10" customWidth="1"/>
    <col min="532" max="532" width="22.375" style="10" customWidth="1"/>
    <col min="533" max="533" width="20.25" style="10" customWidth="1"/>
    <col min="534" max="535" width="19.75" style="10" customWidth="1"/>
    <col min="536" max="536" width="25.125" style="10" customWidth="1"/>
    <col min="537" max="767" width="9" style="10"/>
    <col min="768" max="768" width="5.25" style="10" customWidth="1"/>
    <col min="769" max="769" width="6.625" style="10" customWidth="1"/>
    <col min="770" max="770" width="22.625" style="10" customWidth="1"/>
    <col min="771" max="771" width="23.125" style="10" customWidth="1"/>
    <col min="772" max="772" width="16.625" style="10" customWidth="1"/>
    <col min="773" max="773" width="19.75" style="10" customWidth="1"/>
    <col min="774" max="774" width="20" style="10" customWidth="1"/>
    <col min="775" max="775" width="22.125" style="10" customWidth="1"/>
    <col min="776" max="776" width="22.875" style="10" customWidth="1"/>
    <col min="777" max="778" width="22.625" style="10" customWidth="1"/>
    <col min="779" max="779" width="20" style="10" customWidth="1"/>
    <col min="780" max="780" width="19.375" style="10" customWidth="1"/>
    <col min="781" max="781" width="19.75" style="10" customWidth="1"/>
    <col min="782" max="783" width="22.375" style="10" customWidth="1"/>
    <col min="784" max="784" width="23.125" style="10" customWidth="1"/>
    <col min="785" max="785" width="22.625" style="10" customWidth="1"/>
    <col min="786" max="786" width="19.5" style="10" customWidth="1"/>
    <col min="787" max="787" width="22.625" style="10" customWidth="1"/>
    <col min="788" max="788" width="22.375" style="10" customWidth="1"/>
    <col min="789" max="789" width="20.25" style="10" customWidth="1"/>
    <col min="790" max="791" width="19.75" style="10" customWidth="1"/>
    <col min="792" max="792" width="25.125" style="10" customWidth="1"/>
    <col min="793" max="1023" width="9" style="10"/>
    <col min="1024" max="1024" width="5.25" style="10" customWidth="1"/>
    <col min="1025" max="1025" width="6.625" style="10" customWidth="1"/>
    <col min="1026" max="1026" width="22.625" style="10" customWidth="1"/>
    <col min="1027" max="1027" width="23.125" style="10" customWidth="1"/>
    <col min="1028" max="1028" width="16.625" style="10" customWidth="1"/>
    <col min="1029" max="1029" width="19.75" style="10" customWidth="1"/>
    <col min="1030" max="1030" width="20" style="10" customWidth="1"/>
    <col min="1031" max="1031" width="22.125" style="10" customWidth="1"/>
    <col min="1032" max="1032" width="22.875" style="10" customWidth="1"/>
    <col min="1033" max="1034" width="22.625" style="10" customWidth="1"/>
    <col min="1035" max="1035" width="20" style="10" customWidth="1"/>
    <col min="1036" max="1036" width="19.375" style="10" customWidth="1"/>
    <col min="1037" max="1037" width="19.75" style="10" customWidth="1"/>
    <col min="1038" max="1039" width="22.375" style="10" customWidth="1"/>
    <col min="1040" max="1040" width="23.125" style="10" customWidth="1"/>
    <col min="1041" max="1041" width="22.625" style="10" customWidth="1"/>
    <col min="1042" max="1042" width="19.5" style="10" customWidth="1"/>
    <col min="1043" max="1043" width="22.625" style="10" customWidth="1"/>
    <col min="1044" max="1044" width="22.375" style="10" customWidth="1"/>
    <col min="1045" max="1045" width="20.25" style="10" customWidth="1"/>
    <col min="1046" max="1047" width="19.75" style="10" customWidth="1"/>
    <col min="1048" max="1048" width="25.125" style="10" customWidth="1"/>
    <col min="1049" max="1279" width="9" style="10"/>
    <col min="1280" max="1280" width="5.25" style="10" customWidth="1"/>
    <col min="1281" max="1281" width="6.625" style="10" customWidth="1"/>
    <col min="1282" max="1282" width="22.625" style="10" customWidth="1"/>
    <col min="1283" max="1283" width="23.125" style="10" customWidth="1"/>
    <col min="1284" max="1284" width="16.625" style="10" customWidth="1"/>
    <col min="1285" max="1285" width="19.75" style="10" customWidth="1"/>
    <col min="1286" max="1286" width="20" style="10" customWidth="1"/>
    <col min="1287" max="1287" width="22.125" style="10" customWidth="1"/>
    <col min="1288" max="1288" width="22.875" style="10" customWidth="1"/>
    <col min="1289" max="1290" width="22.625" style="10" customWidth="1"/>
    <col min="1291" max="1291" width="20" style="10" customWidth="1"/>
    <col min="1292" max="1292" width="19.375" style="10" customWidth="1"/>
    <col min="1293" max="1293" width="19.75" style="10" customWidth="1"/>
    <col min="1294" max="1295" width="22.375" style="10" customWidth="1"/>
    <col min="1296" max="1296" width="23.125" style="10" customWidth="1"/>
    <col min="1297" max="1297" width="22.625" style="10" customWidth="1"/>
    <col min="1298" max="1298" width="19.5" style="10" customWidth="1"/>
    <col min="1299" max="1299" width="22.625" style="10" customWidth="1"/>
    <col min="1300" max="1300" width="22.375" style="10" customWidth="1"/>
    <col min="1301" max="1301" width="20.25" style="10" customWidth="1"/>
    <col min="1302" max="1303" width="19.75" style="10" customWidth="1"/>
    <col min="1304" max="1304" width="25.125" style="10" customWidth="1"/>
    <col min="1305" max="1535" width="9" style="10"/>
    <col min="1536" max="1536" width="5.25" style="10" customWidth="1"/>
    <col min="1537" max="1537" width="6.625" style="10" customWidth="1"/>
    <col min="1538" max="1538" width="22.625" style="10" customWidth="1"/>
    <col min="1539" max="1539" width="23.125" style="10" customWidth="1"/>
    <col min="1540" max="1540" width="16.625" style="10" customWidth="1"/>
    <col min="1541" max="1541" width="19.75" style="10" customWidth="1"/>
    <col min="1542" max="1542" width="20" style="10" customWidth="1"/>
    <col min="1543" max="1543" width="22.125" style="10" customWidth="1"/>
    <col min="1544" max="1544" width="22.875" style="10" customWidth="1"/>
    <col min="1545" max="1546" width="22.625" style="10" customWidth="1"/>
    <col min="1547" max="1547" width="20" style="10" customWidth="1"/>
    <col min="1548" max="1548" width="19.375" style="10" customWidth="1"/>
    <col min="1549" max="1549" width="19.75" style="10" customWidth="1"/>
    <col min="1550" max="1551" width="22.375" style="10" customWidth="1"/>
    <col min="1552" max="1552" width="23.125" style="10" customWidth="1"/>
    <col min="1553" max="1553" width="22.625" style="10" customWidth="1"/>
    <col min="1554" max="1554" width="19.5" style="10" customWidth="1"/>
    <col min="1555" max="1555" width="22.625" style="10" customWidth="1"/>
    <col min="1556" max="1556" width="22.375" style="10" customWidth="1"/>
    <col min="1557" max="1557" width="20.25" style="10" customWidth="1"/>
    <col min="1558" max="1559" width="19.75" style="10" customWidth="1"/>
    <col min="1560" max="1560" width="25.125" style="10" customWidth="1"/>
    <col min="1561" max="1791" width="9" style="10"/>
    <col min="1792" max="1792" width="5.25" style="10" customWidth="1"/>
    <col min="1793" max="1793" width="6.625" style="10" customWidth="1"/>
    <col min="1794" max="1794" width="22.625" style="10" customWidth="1"/>
    <col min="1795" max="1795" width="23.125" style="10" customWidth="1"/>
    <col min="1796" max="1796" width="16.625" style="10" customWidth="1"/>
    <col min="1797" max="1797" width="19.75" style="10" customWidth="1"/>
    <col min="1798" max="1798" width="20" style="10" customWidth="1"/>
    <col min="1799" max="1799" width="22.125" style="10" customWidth="1"/>
    <col min="1800" max="1800" width="22.875" style="10" customWidth="1"/>
    <col min="1801" max="1802" width="22.625" style="10" customWidth="1"/>
    <col min="1803" max="1803" width="20" style="10" customWidth="1"/>
    <col min="1804" max="1804" width="19.375" style="10" customWidth="1"/>
    <col min="1805" max="1805" width="19.75" style="10" customWidth="1"/>
    <col min="1806" max="1807" width="22.375" style="10" customWidth="1"/>
    <col min="1808" max="1808" width="23.125" style="10" customWidth="1"/>
    <col min="1809" max="1809" width="22.625" style="10" customWidth="1"/>
    <col min="1810" max="1810" width="19.5" style="10" customWidth="1"/>
    <col min="1811" max="1811" width="22.625" style="10" customWidth="1"/>
    <col min="1812" max="1812" width="22.375" style="10" customWidth="1"/>
    <col min="1813" max="1813" width="20.25" style="10" customWidth="1"/>
    <col min="1814" max="1815" width="19.75" style="10" customWidth="1"/>
    <col min="1816" max="1816" width="25.125" style="10" customWidth="1"/>
    <col min="1817" max="2047" width="9" style="10"/>
    <col min="2048" max="2048" width="5.25" style="10" customWidth="1"/>
    <col min="2049" max="2049" width="6.625" style="10" customWidth="1"/>
    <col min="2050" max="2050" width="22.625" style="10" customWidth="1"/>
    <col min="2051" max="2051" width="23.125" style="10" customWidth="1"/>
    <col min="2052" max="2052" width="16.625" style="10" customWidth="1"/>
    <col min="2053" max="2053" width="19.75" style="10" customWidth="1"/>
    <col min="2054" max="2054" width="20" style="10" customWidth="1"/>
    <col min="2055" max="2055" width="22.125" style="10" customWidth="1"/>
    <col min="2056" max="2056" width="22.875" style="10" customWidth="1"/>
    <col min="2057" max="2058" width="22.625" style="10" customWidth="1"/>
    <col min="2059" max="2059" width="20" style="10" customWidth="1"/>
    <col min="2060" max="2060" width="19.375" style="10" customWidth="1"/>
    <col min="2061" max="2061" width="19.75" style="10" customWidth="1"/>
    <col min="2062" max="2063" width="22.375" style="10" customWidth="1"/>
    <col min="2064" max="2064" width="23.125" style="10" customWidth="1"/>
    <col min="2065" max="2065" width="22.625" style="10" customWidth="1"/>
    <col min="2066" max="2066" width="19.5" style="10" customWidth="1"/>
    <col min="2067" max="2067" width="22.625" style="10" customWidth="1"/>
    <col min="2068" max="2068" width="22.375" style="10" customWidth="1"/>
    <col min="2069" max="2069" width="20.25" style="10" customWidth="1"/>
    <col min="2070" max="2071" width="19.75" style="10" customWidth="1"/>
    <col min="2072" max="2072" width="25.125" style="10" customWidth="1"/>
    <col min="2073" max="2303" width="9" style="10"/>
    <col min="2304" max="2304" width="5.25" style="10" customWidth="1"/>
    <col min="2305" max="2305" width="6.625" style="10" customWidth="1"/>
    <col min="2306" max="2306" width="22.625" style="10" customWidth="1"/>
    <col min="2307" max="2307" width="23.125" style="10" customWidth="1"/>
    <col min="2308" max="2308" width="16.625" style="10" customWidth="1"/>
    <col min="2309" max="2309" width="19.75" style="10" customWidth="1"/>
    <col min="2310" max="2310" width="20" style="10" customWidth="1"/>
    <col min="2311" max="2311" width="22.125" style="10" customWidth="1"/>
    <col min="2312" max="2312" width="22.875" style="10" customWidth="1"/>
    <col min="2313" max="2314" width="22.625" style="10" customWidth="1"/>
    <col min="2315" max="2315" width="20" style="10" customWidth="1"/>
    <col min="2316" max="2316" width="19.375" style="10" customWidth="1"/>
    <col min="2317" max="2317" width="19.75" style="10" customWidth="1"/>
    <col min="2318" max="2319" width="22.375" style="10" customWidth="1"/>
    <col min="2320" max="2320" width="23.125" style="10" customWidth="1"/>
    <col min="2321" max="2321" width="22.625" style="10" customWidth="1"/>
    <col min="2322" max="2322" width="19.5" style="10" customWidth="1"/>
    <col min="2323" max="2323" width="22.625" style="10" customWidth="1"/>
    <col min="2324" max="2324" width="22.375" style="10" customWidth="1"/>
    <col min="2325" max="2325" width="20.25" style="10" customWidth="1"/>
    <col min="2326" max="2327" width="19.75" style="10" customWidth="1"/>
    <col min="2328" max="2328" width="25.125" style="10" customWidth="1"/>
    <col min="2329" max="2559" width="9" style="10"/>
    <col min="2560" max="2560" width="5.25" style="10" customWidth="1"/>
    <col min="2561" max="2561" width="6.625" style="10" customWidth="1"/>
    <col min="2562" max="2562" width="22.625" style="10" customWidth="1"/>
    <col min="2563" max="2563" width="23.125" style="10" customWidth="1"/>
    <col min="2564" max="2564" width="16.625" style="10" customWidth="1"/>
    <col min="2565" max="2565" width="19.75" style="10" customWidth="1"/>
    <col min="2566" max="2566" width="20" style="10" customWidth="1"/>
    <col min="2567" max="2567" width="22.125" style="10" customWidth="1"/>
    <col min="2568" max="2568" width="22.875" style="10" customWidth="1"/>
    <col min="2569" max="2570" width="22.625" style="10" customWidth="1"/>
    <col min="2571" max="2571" width="20" style="10" customWidth="1"/>
    <col min="2572" max="2572" width="19.375" style="10" customWidth="1"/>
    <col min="2573" max="2573" width="19.75" style="10" customWidth="1"/>
    <col min="2574" max="2575" width="22.375" style="10" customWidth="1"/>
    <col min="2576" max="2576" width="23.125" style="10" customWidth="1"/>
    <col min="2577" max="2577" width="22.625" style="10" customWidth="1"/>
    <col min="2578" max="2578" width="19.5" style="10" customWidth="1"/>
    <col min="2579" max="2579" width="22.625" style="10" customWidth="1"/>
    <col min="2580" max="2580" width="22.375" style="10" customWidth="1"/>
    <col min="2581" max="2581" width="20.25" style="10" customWidth="1"/>
    <col min="2582" max="2583" width="19.75" style="10" customWidth="1"/>
    <col min="2584" max="2584" width="25.125" style="10" customWidth="1"/>
    <col min="2585" max="2815" width="9" style="10"/>
    <col min="2816" max="2816" width="5.25" style="10" customWidth="1"/>
    <col min="2817" max="2817" width="6.625" style="10" customWidth="1"/>
    <col min="2818" max="2818" width="22.625" style="10" customWidth="1"/>
    <col min="2819" max="2819" width="23.125" style="10" customWidth="1"/>
    <col min="2820" max="2820" width="16.625" style="10" customWidth="1"/>
    <col min="2821" max="2821" width="19.75" style="10" customWidth="1"/>
    <col min="2822" max="2822" width="20" style="10" customWidth="1"/>
    <col min="2823" max="2823" width="22.125" style="10" customWidth="1"/>
    <col min="2824" max="2824" width="22.875" style="10" customWidth="1"/>
    <col min="2825" max="2826" width="22.625" style="10" customWidth="1"/>
    <col min="2827" max="2827" width="20" style="10" customWidth="1"/>
    <col min="2828" max="2828" width="19.375" style="10" customWidth="1"/>
    <col min="2829" max="2829" width="19.75" style="10" customWidth="1"/>
    <col min="2830" max="2831" width="22.375" style="10" customWidth="1"/>
    <col min="2832" max="2832" width="23.125" style="10" customWidth="1"/>
    <col min="2833" max="2833" width="22.625" style="10" customWidth="1"/>
    <col min="2834" max="2834" width="19.5" style="10" customWidth="1"/>
    <col min="2835" max="2835" width="22.625" style="10" customWidth="1"/>
    <col min="2836" max="2836" width="22.375" style="10" customWidth="1"/>
    <col min="2837" max="2837" width="20.25" style="10" customWidth="1"/>
    <col min="2838" max="2839" width="19.75" style="10" customWidth="1"/>
    <col min="2840" max="2840" width="25.125" style="10" customWidth="1"/>
    <col min="2841" max="3071" width="9" style="10"/>
    <col min="3072" max="3072" width="5.25" style="10" customWidth="1"/>
    <col min="3073" max="3073" width="6.625" style="10" customWidth="1"/>
    <col min="3074" max="3074" width="22.625" style="10" customWidth="1"/>
    <col min="3075" max="3075" width="23.125" style="10" customWidth="1"/>
    <col min="3076" max="3076" width="16.625" style="10" customWidth="1"/>
    <col min="3077" max="3077" width="19.75" style="10" customWidth="1"/>
    <col min="3078" max="3078" width="20" style="10" customWidth="1"/>
    <col min="3079" max="3079" width="22.125" style="10" customWidth="1"/>
    <col min="3080" max="3080" width="22.875" style="10" customWidth="1"/>
    <col min="3081" max="3082" width="22.625" style="10" customWidth="1"/>
    <col min="3083" max="3083" width="20" style="10" customWidth="1"/>
    <col min="3084" max="3084" width="19.375" style="10" customWidth="1"/>
    <col min="3085" max="3085" width="19.75" style="10" customWidth="1"/>
    <col min="3086" max="3087" width="22.375" style="10" customWidth="1"/>
    <col min="3088" max="3088" width="23.125" style="10" customWidth="1"/>
    <col min="3089" max="3089" width="22.625" style="10" customWidth="1"/>
    <col min="3090" max="3090" width="19.5" style="10" customWidth="1"/>
    <col min="3091" max="3091" width="22.625" style="10" customWidth="1"/>
    <col min="3092" max="3092" width="22.375" style="10" customWidth="1"/>
    <col min="3093" max="3093" width="20.25" style="10" customWidth="1"/>
    <col min="3094" max="3095" width="19.75" style="10" customWidth="1"/>
    <col min="3096" max="3096" width="25.125" style="10" customWidth="1"/>
    <col min="3097" max="3327" width="9" style="10"/>
    <col min="3328" max="3328" width="5.25" style="10" customWidth="1"/>
    <col min="3329" max="3329" width="6.625" style="10" customWidth="1"/>
    <col min="3330" max="3330" width="22.625" style="10" customWidth="1"/>
    <col min="3331" max="3331" width="23.125" style="10" customWidth="1"/>
    <col min="3332" max="3332" width="16.625" style="10" customWidth="1"/>
    <col min="3333" max="3333" width="19.75" style="10" customWidth="1"/>
    <col min="3334" max="3334" width="20" style="10" customWidth="1"/>
    <col min="3335" max="3335" width="22.125" style="10" customWidth="1"/>
    <col min="3336" max="3336" width="22.875" style="10" customWidth="1"/>
    <col min="3337" max="3338" width="22.625" style="10" customWidth="1"/>
    <col min="3339" max="3339" width="20" style="10" customWidth="1"/>
    <col min="3340" max="3340" width="19.375" style="10" customWidth="1"/>
    <col min="3341" max="3341" width="19.75" style="10" customWidth="1"/>
    <col min="3342" max="3343" width="22.375" style="10" customWidth="1"/>
    <col min="3344" max="3344" width="23.125" style="10" customWidth="1"/>
    <col min="3345" max="3345" width="22.625" style="10" customWidth="1"/>
    <col min="3346" max="3346" width="19.5" style="10" customWidth="1"/>
    <col min="3347" max="3347" width="22.625" style="10" customWidth="1"/>
    <col min="3348" max="3348" width="22.375" style="10" customWidth="1"/>
    <col min="3349" max="3349" width="20.25" style="10" customWidth="1"/>
    <col min="3350" max="3351" width="19.75" style="10" customWidth="1"/>
    <col min="3352" max="3352" width="25.125" style="10" customWidth="1"/>
    <col min="3353" max="3583" width="9" style="10"/>
    <col min="3584" max="3584" width="5.25" style="10" customWidth="1"/>
    <col min="3585" max="3585" width="6.625" style="10" customWidth="1"/>
    <col min="3586" max="3586" width="22.625" style="10" customWidth="1"/>
    <col min="3587" max="3587" width="23.125" style="10" customWidth="1"/>
    <col min="3588" max="3588" width="16.625" style="10" customWidth="1"/>
    <col min="3589" max="3589" width="19.75" style="10" customWidth="1"/>
    <col min="3590" max="3590" width="20" style="10" customWidth="1"/>
    <col min="3591" max="3591" width="22.125" style="10" customWidth="1"/>
    <col min="3592" max="3592" width="22.875" style="10" customWidth="1"/>
    <col min="3593" max="3594" width="22.625" style="10" customWidth="1"/>
    <col min="3595" max="3595" width="20" style="10" customWidth="1"/>
    <col min="3596" max="3596" width="19.375" style="10" customWidth="1"/>
    <col min="3597" max="3597" width="19.75" style="10" customWidth="1"/>
    <col min="3598" max="3599" width="22.375" style="10" customWidth="1"/>
    <col min="3600" max="3600" width="23.125" style="10" customWidth="1"/>
    <col min="3601" max="3601" width="22.625" style="10" customWidth="1"/>
    <col min="3602" max="3602" width="19.5" style="10" customWidth="1"/>
    <col min="3603" max="3603" width="22.625" style="10" customWidth="1"/>
    <col min="3604" max="3604" width="22.375" style="10" customWidth="1"/>
    <col min="3605" max="3605" width="20.25" style="10" customWidth="1"/>
    <col min="3606" max="3607" width="19.75" style="10" customWidth="1"/>
    <col min="3608" max="3608" width="25.125" style="10" customWidth="1"/>
    <col min="3609" max="3839" width="9" style="10"/>
    <col min="3840" max="3840" width="5.25" style="10" customWidth="1"/>
    <col min="3841" max="3841" width="6.625" style="10" customWidth="1"/>
    <col min="3842" max="3842" width="22.625" style="10" customWidth="1"/>
    <col min="3843" max="3843" width="23.125" style="10" customWidth="1"/>
    <col min="3844" max="3844" width="16.625" style="10" customWidth="1"/>
    <col min="3845" max="3845" width="19.75" style="10" customWidth="1"/>
    <col min="3846" max="3846" width="20" style="10" customWidth="1"/>
    <col min="3847" max="3847" width="22.125" style="10" customWidth="1"/>
    <col min="3848" max="3848" width="22.875" style="10" customWidth="1"/>
    <col min="3849" max="3850" width="22.625" style="10" customWidth="1"/>
    <col min="3851" max="3851" width="20" style="10" customWidth="1"/>
    <col min="3852" max="3852" width="19.375" style="10" customWidth="1"/>
    <col min="3853" max="3853" width="19.75" style="10" customWidth="1"/>
    <col min="3854" max="3855" width="22.375" style="10" customWidth="1"/>
    <col min="3856" max="3856" width="23.125" style="10" customWidth="1"/>
    <col min="3857" max="3857" width="22.625" style="10" customWidth="1"/>
    <col min="3858" max="3858" width="19.5" style="10" customWidth="1"/>
    <col min="3859" max="3859" width="22.625" style="10" customWidth="1"/>
    <col min="3860" max="3860" width="22.375" style="10" customWidth="1"/>
    <col min="3861" max="3861" width="20.25" style="10" customWidth="1"/>
    <col min="3862" max="3863" width="19.75" style="10" customWidth="1"/>
    <col min="3864" max="3864" width="25.125" style="10" customWidth="1"/>
    <col min="3865" max="4095" width="9" style="10"/>
    <col min="4096" max="4096" width="5.25" style="10" customWidth="1"/>
    <col min="4097" max="4097" width="6.625" style="10" customWidth="1"/>
    <col min="4098" max="4098" width="22.625" style="10" customWidth="1"/>
    <col min="4099" max="4099" width="23.125" style="10" customWidth="1"/>
    <col min="4100" max="4100" width="16.625" style="10" customWidth="1"/>
    <col min="4101" max="4101" width="19.75" style="10" customWidth="1"/>
    <col min="4102" max="4102" width="20" style="10" customWidth="1"/>
    <col min="4103" max="4103" width="22.125" style="10" customWidth="1"/>
    <col min="4104" max="4104" width="22.875" style="10" customWidth="1"/>
    <col min="4105" max="4106" width="22.625" style="10" customWidth="1"/>
    <col min="4107" max="4107" width="20" style="10" customWidth="1"/>
    <col min="4108" max="4108" width="19.375" style="10" customWidth="1"/>
    <col min="4109" max="4109" width="19.75" style="10" customWidth="1"/>
    <col min="4110" max="4111" width="22.375" style="10" customWidth="1"/>
    <col min="4112" max="4112" width="23.125" style="10" customWidth="1"/>
    <col min="4113" max="4113" width="22.625" style="10" customWidth="1"/>
    <col min="4114" max="4114" width="19.5" style="10" customWidth="1"/>
    <col min="4115" max="4115" width="22.625" style="10" customWidth="1"/>
    <col min="4116" max="4116" width="22.375" style="10" customWidth="1"/>
    <col min="4117" max="4117" width="20.25" style="10" customWidth="1"/>
    <col min="4118" max="4119" width="19.75" style="10" customWidth="1"/>
    <col min="4120" max="4120" width="25.125" style="10" customWidth="1"/>
    <col min="4121" max="4351" width="9" style="10"/>
    <col min="4352" max="4352" width="5.25" style="10" customWidth="1"/>
    <col min="4353" max="4353" width="6.625" style="10" customWidth="1"/>
    <col min="4354" max="4354" width="22.625" style="10" customWidth="1"/>
    <col min="4355" max="4355" width="23.125" style="10" customWidth="1"/>
    <col min="4356" max="4356" width="16.625" style="10" customWidth="1"/>
    <col min="4357" max="4357" width="19.75" style="10" customWidth="1"/>
    <col min="4358" max="4358" width="20" style="10" customWidth="1"/>
    <col min="4359" max="4359" width="22.125" style="10" customWidth="1"/>
    <col min="4360" max="4360" width="22.875" style="10" customWidth="1"/>
    <col min="4361" max="4362" width="22.625" style="10" customWidth="1"/>
    <col min="4363" max="4363" width="20" style="10" customWidth="1"/>
    <col min="4364" max="4364" width="19.375" style="10" customWidth="1"/>
    <col min="4365" max="4365" width="19.75" style="10" customWidth="1"/>
    <col min="4366" max="4367" width="22.375" style="10" customWidth="1"/>
    <col min="4368" max="4368" width="23.125" style="10" customWidth="1"/>
    <col min="4369" max="4369" width="22.625" style="10" customWidth="1"/>
    <col min="4370" max="4370" width="19.5" style="10" customWidth="1"/>
    <col min="4371" max="4371" width="22.625" style="10" customWidth="1"/>
    <col min="4372" max="4372" width="22.375" style="10" customWidth="1"/>
    <col min="4373" max="4373" width="20.25" style="10" customWidth="1"/>
    <col min="4374" max="4375" width="19.75" style="10" customWidth="1"/>
    <col min="4376" max="4376" width="25.125" style="10" customWidth="1"/>
    <col min="4377" max="4607" width="9" style="10"/>
    <col min="4608" max="4608" width="5.25" style="10" customWidth="1"/>
    <col min="4609" max="4609" width="6.625" style="10" customWidth="1"/>
    <col min="4610" max="4610" width="22.625" style="10" customWidth="1"/>
    <col min="4611" max="4611" width="23.125" style="10" customWidth="1"/>
    <col min="4612" max="4612" width="16.625" style="10" customWidth="1"/>
    <col min="4613" max="4613" width="19.75" style="10" customWidth="1"/>
    <col min="4614" max="4614" width="20" style="10" customWidth="1"/>
    <col min="4615" max="4615" width="22.125" style="10" customWidth="1"/>
    <col min="4616" max="4616" width="22.875" style="10" customWidth="1"/>
    <col min="4617" max="4618" width="22.625" style="10" customWidth="1"/>
    <col min="4619" max="4619" width="20" style="10" customWidth="1"/>
    <col min="4620" max="4620" width="19.375" style="10" customWidth="1"/>
    <col min="4621" max="4621" width="19.75" style="10" customWidth="1"/>
    <col min="4622" max="4623" width="22.375" style="10" customWidth="1"/>
    <col min="4624" max="4624" width="23.125" style="10" customWidth="1"/>
    <col min="4625" max="4625" width="22.625" style="10" customWidth="1"/>
    <col min="4626" max="4626" width="19.5" style="10" customWidth="1"/>
    <col min="4627" max="4627" width="22.625" style="10" customWidth="1"/>
    <col min="4628" max="4628" width="22.375" style="10" customWidth="1"/>
    <col min="4629" max="4629" width="20.25" style="10" customWidth="1"/>
    <col min="4630" max="4631" width="19.75" style="10" customWidth="1"/>
    <col min="4632" max="4632" width="25.125" style="10" customWidth="1"/>
    <col min="4633" max="4863" width="9" style="10"/>
    <col min="4864" max="4864" width="5.25" style="10" customWidth="1"/>
    <col min="4865" max="4865" width="6.625" style="10" customWidth="1"/>
    <col min="4866" max="4866" width="22.625" style="10" customWidth="1"/>
    <col min="4867" max="4867" width="23.125" style="10" customWidth="1"/>
    <col min="4868" max="4868" width="16.625" style="10" customWidth="1"/>
    <col min="4869" max="4869" width="19.75" style="10" customWidth="1"/>
    <col min="4870" max="4870" width="20" style="10" customWidth="1"/>
    <col min="4871" max="4871" width="22.125" style="10" customWidth="1"/>
    <col min="4872" max="4872" width="22.875" style="10" customWidth="1"/>
    <col min="4873" max="4874" width="22.625" style="10" customWidth="1"/>
    <col min="4875" max="4875" width="20" style="10" customWidth="1"/>
    <col min="4876" max="4876" width="19.375" style="10" customWidth="1"/>
    <col min="4877" max="4877" width="19.75" style="10" customWidth="1"/>
    <col min="4878" max="4879" width="22.375" style="10" customWidth="1"/>
    <col min="4880" max="4880" width="23.125" style="10" customWidth="1"/>
    <col min="4881" max="4881" width="22.625" style="10" customWidth="1"/>
    <col min="4882" max="4882" width="19.5" style="10" customWidth="1"/>
    <col min="4883" max="4883" width="22.625" style="10" customWidth="1"/>
    <col min="4884" max="4884" width="22.375" style="10" customWidth="1"/>
    <col min="4885" max="4885" width="20.25" style="10" customWidth="1"/>
    <col min="4886" max="4887" width="19.75" style="10" customWidth="1"/>
    <col min="4888" max="4888" width="25.125" style="10" customWidth="1"/>
    <col min="4889" max="5119" width="9" style="10"/>
    <col min="5120" max="5120" width="5.25" style="10" customWidth="1"/>
    <col min="5121" max="5121" width="6.625" style="10" customWidth="1"/>
    <col min="5122" max="5122" width="22.625" style="10" customWidth="1"/>
    <col min="5123" max="5123" width="23.125" style="10" customWidth="1"/>
    <col min="5124" max="5124" width="16.625" style="10" customWidth="1"/>
    <col min="5125" max="5125" width="19.75" style="10" customWidth="1"/>
    <col min="5126" max="5126" width="20" style="10" customWidth="1"/>
    <col min="5127" max="5127" width="22.125" style="10" customWidth="1"/>
    <col min="5128" max="5128" width="22.875" style="10" customWidth="1"/>
    <col min="5129" max="5130" width="22.625" style="10" customWidth="1"/>
    <col min="5131" max="5131" width="20" style="10" customWidth="1"/>
    <col min="5132" max="5132" width="19.375" style="10" customWidth="1"/>
    <col min="5133" max="5133" width="19.75" style="10" customWidth="1"/>
    <col min="5134" max="5135" width="22.375" style="10" customWidth="1"/>
    <col min="5136" max="5136" width="23.125" style="10" customWidth="1"/>
    <col min="5137" max="5137" width="22.625" style="10" customWidth="1"/>
    <col min="5138" max="5138" width="19.5" style="10" customWidth="1"/>
    <col min="5139" max="5139" width="22.625" style="10" customWidth="1"/>
    <col min="5140" max="5140" width="22.375" style="10" customWidth="1"/>
    <col min="5141" max="5141" width="20.25" style="10" customWidth="1"/>
    <col min="5142" max="5143" width="19.75" style="10" customWidth="1"/>
    <col min="5144" max="5144" width="25.125" style="10" customWidth="1"/>
    <col min="5145" max="5375" width="9" style="10"/>
    <col min="5376" max="5376" width="5.25" style="10" customWidth="1"/>
    <col min="5377" max="5377" width="6.625" style="10" customWidth="1"/>
    <col min="5378" max="5378" width="22.625" style="10" customWidth="1"/>
    <col min="5379" max="5379" width="23.125" style="10" customWidth="1"/>
    <col min="5380" max="5380" width="16.625" style="10" customWidth="1"/>
    <col min="5381" max="5381" width="19.75" style="10" customWidth="1"/>
    <col min="5382" max="5382" width="20" style="10" customWidth="1"/>
    <col min="5383" max="5383" width="22.125" style="10" customWidth="1"/>
    <col min="5384" max="5384" width="22.875" style="10" customWidth="1"/>
    <col min="5385" max="5386" width="22.625" style="10" customWidth="1"/>
    <col min="5387" max="5387" width="20" style="10" customWidth="1"/>
    <col min="5388" max="5388" width="19.375" style="10" customWidth="1"/>
    <col min="5389" max="5389" width="19.75" style="10" customWidth="1"/>
    <col min="5390" max="5391" width="22.375" style="10" customWidth="1"/>
    <col min="5392" max="5392" width="23.125" style="10" customWidth="1"/>
    <col min="5393" max="5393" width="22.625" style="10" customWidth="1"/>
    <col min="5394" max="5394" width="19.5" style="10" customWidth="1"/>
    <col min="5395" max="5395" width="22.625" style="10" customWidth="1"/>
    <col min="5396" max="5396" width="22.375" style="10" customWidth="1"/>
    <col min="5397" max="5397" width="20.25" style="10" customWidth="1"/>
    <col min="5398" max="5399" width="19.75" style="10" customWidth="1"/>
    <col min="5400" max="5400" width="25.125" style="10" customWidth="1"/>
    <col min="5401" max="5631" width="9" style="10"/>
    <col min="5632" max="5632" width="5.25" style="10" customWidth="1"/>
    <col min="5633" max="5633" width="6.625" style="10" customWidth="1"/>
    <col min="5634" max="5634" width="22.625" style="10" customWidth="1"/>
    <col min="5635" max="5635" width="23.125" style="10" customWidth="1"/>
    <col min="5636" max="5636" width="16.625" style="10" customWidth="1"/>
    <col min="5637" max="5637" width="19.75" style="10" customWidth="1"/>
    <col min="5638" max="5638" width="20" style="10" customWidth="1"/>
    <col min="5639" max="5639" width="22.125" style="10" customWidth="1"/>
    <col min="5640" max="5640" width="22.875" style="10" customWidth="1"/>
    <col min="5641" max="5642" width="22.625" style="10" customWidth="1"/>
    <col min="5643" max="5643" width="20" style="10" customWidth="1"/>
    <col min="5644" max="5644" width="19.375" style="10" customWidth="1"/>
    <col min="5645" max="5645" width="19.75" style="10" customWidth="1"/>
    <col min="5646" max="5647" width="22.375" style="10" customWidth="1"/>
    <col min="5648" max="5648" width="23.125" style="10" customWidth="1"/>
    <col min="5649" max="5649" width="22.625" style="10" customWidth="1"/>
    <col min="5650" max="5650" width="19.5" style="10" customWidth="1"/>
    <col min="5651" max="5651" width="22.625" style="10" customWidth="1"/>
    <col min="5652" max="5652" width="22.375" style="10" customWidth="1"/>
    <col min="5653" max="5653" width="20.25" style="10" customWidth="1"/>
    <col min="5654" max="5655" width="19.75" style="10" customWidth="1"/>
    <col min="5656" max="5656" width="25.125" style="10" customWidth="1"/>
    <col min="5657" max="5887" width="9" style="10"/>
    <col min="5888" max="5888" width="5.25" style="10" customWidth="1"/>
    <col min="5889" max="5889" width="6.625" style="10" customWidth="1"/>
    <col min="5890" max="5890" width="22.625" style="10" customWidth="1"/>
    <col min="5891" max="5891" width="23.125" style="10" customWidth="1"/>
    <col min="5892" max="5892" width="16.625" style="10" customWidth="1"/>
    <col min="5893" max="5893" width="19.75" style="10" customWidth="1"/>
    <col min="5894" max="5894" width="20" style="10" customWidth="1"/>
    <col min="5895" max="5895" width="22.125" style="10" customWidth="1"/>
    <col min="5896" max="5896" width="22.875" style="10" customWidth="1"/>
    <col min="5897" max="5898" width="22.625" style="10" customWidth="1"/>
    <col min="5899" max="5899" width="20" style="10" customWidth="1"/>
    <col min="5900" max="5900" width="19.375" style="10" customWidth="1"/>
    <col min="5901" max="5901" width="19.75" style="10" customWidth="1"/>
    <col min="5902" max="5903" width="22.375" style="10" customWidth="1"/>
    <col min="5904" max="5904" width="23.125" style="10" customWidth="1"/>
    <col min="5905" max="5905" width="22.625" style="10" customWidth="1"/>
    <col min="5906" max="5906" width="19.5" style="10" customWidth="1"/>
    <col min="5907" max="5907" width="22.625" style="10" customWidth="1"/>
    <col min="5908" max="5908" width="22.375" style="10" customWidth="1"/>
    <col min="5909" max="5909" width="20.25" style="10" customWidth="1"/>
    <col min="5910" max="5911" width="19.75" style="10" customWidth="1"/>
    <col min="5912" max="5912" width="25.125" style="10" customWidth="1"/>
    <col min="5913" max="6143" width="9" style="10"/>
    <col min="6144" max="6144" width="5.25" style="10" customWidth="1"/>
    <col min="6145" max="6145" width="6.625" style="10" customWidth="1"/>
    <col min="6146" max="6146" width="22.625" style="10" customWidth="1"/>
    <col min="6147" max="6147" width="23.125" style="10" customWidth="1"/>
    <col min="6148" max="6148" width="16.625" style="10" customWidth="1"/>
    <col min="6149" max="6149" width="19.75" style="10" customWidth="1"/>
    <col min="6150" max="6150" width="20" style="10" customWidth="1"/>
    <col min="6151" max="6151" width="22.125" style="10" customWidth="1"/>
    <col min="6152" max="6152" width="22.875" style="10" customWidth="1"/>
    <col min="6153" max="6154" width="22.625" style="10" customWidth="1"/>
    <col min="6155" max="6155" width="20" style="10" customWidth="1"/>
    <col min="6156" max="6156" width="19.375" style="10" customWidth="1"/>
    <col min="6157" max="6157" width="19.75" style="10" customWidth="1"/>
    <col min="6158" max="6159" width="22.375" style="10" customWidth="1"/>
    <col min="6160" max="6160" width="23.125" style="10" customWidth="1"/>
    <col min="6161" max="6161" width="22.625" style="10" customWidth="1"/>
    <col min="6162" max="6162" width="19.5" style="10" customWidth="1"/>
    <col min="6163" max="6163" width="22.625" style="10" customWidth="1"/>
    <col min="6164" max="6164" width="22.375" style="10" customWidth="1"/>
    <col min="6165" max="6165" width="20.25" style="10" customWidth="1"/>
    <col min="6166" max="6167" width="19.75" style="10" customWidth="1"/>
    <col min="6168" max="6168" width="25.125" style="10" customWidth="1"/>
    <col min="6169" max="6399" width="9" style="10"/>
    <col min="6400" max="6400" width="5.25" style="10" customWidth="1"/>
    <col min="6401" max="6401" width="6.625" style="10" customWidth="1"/>
    <col min="6402" max="6402" width="22.625" style="10" customWidth="1"/>
    <col min="6403" max="6403" width="23.125" style="10" customWidth="1"/>
    <col min="6404" max="6404" width="16.625" style="10" customWidth="1"/>
    <col min="6405" max="6405" width="19.75" style="10" customWidth="1"/>
    <col min="6406" max="6406" width="20" style="10" customWidth="1"/>
    <col min="6407" max="6407" width="22.125" style="10" customWidth="1"/>
    <col min="6408" max="6408" width="22.875" style="10" customWidth="1"/>
    <col min="6409" max="6410" width="22.625" style="10" customWidth="1"/>
    <col min="6411" max="6411" width="20" style="10" customWidth="1"/>
    <col min="6412" max="6412" width="19.375" style="10" customWidth="1"/>
    <col min="6413" max="6413" width="19.75" style="10" customWidth="1"/>
    <col min="6414" max="6415" width="22.375" style="10" customWidth="1"/>
    <col min="6416" max="6416" width="23.125" style="10" customWidth="1"/>
    <col min="6417" max="6417" width="22.625" style="10" customWidth="1"/>
    <col min="6418" max="6418" width="19.5" style="10" customWidth="1"/>
    <col min="6419" max="6419" width="22.625" style="10" customWidth="1"/>
    <col min="6420" max="6420" width="22.375" style="10" customWidth="1"/>
    <col min="6421" max="6421" width="20.25" style="10" customWidth="1"/>
    <col min="6422" max="6423" width="19.75" style="10" customWidth="1"/>
    <col min="6424" max="6424" width="25.125" style="10" customWidth="1"/>
    <col min="6425" max="6655" width="9" style="10"/>
    <col min="6656" max="6656" width="5.25" style="10" customWidth="1"/>
    <col min="6657" max="6657" width="6.625" style="10" customWidth="1"/>
    <col min="6658" max="6658" width="22.625" style="10" customWidth="1"/>
    <col min="6659" max="6659" width="23.125" style="10" customWidth="1"/>
    <col min="6660" max="6660" width="16.625" style="10" customWidth="1"/>
    <col min="6661" max="6661" width="19.75" style="10" customWidth="1"/>
    <col min="6662" max="6662" width="20" style="10" customWidth="1"/>
    <col min="6663" max="6663" width="22.125" style="10" customWidth="1"/>
    <col min="6664" max="6664" width="22.875" style="10" customWidth="1"/>
    <col min="6665" max="6666" width="22.625" style="10" customWidth="1"/>
    <col min="6667" max="6667" width="20" style="10" customWidth="1"/>
    <col min="6668" max="6668" width="19.375" style="10" customWidth="1"/>
    <col min="6669" max="6669" width="19.75" style="10" customWidth="1"/>
    <col min="6670" max="6671" width="22.375" style="10" customWidth="1"/>
    <col min="6672" max="6672" width="23.125" style="10" customWidth="1"/>
    <col min="6673" max="6673" width="22.625" style="10" customWidth="1"/>
    <col min="6674" max="6674" width="19.5" style="10" customWidth="1"/>
    <col min="6675" max="6675" width="22.625" style="10" customWidth="1"/>
    <col min="6676" max="6676" width="22.375" style="10" customWidth="1"/>
    <col min="6677" max="6677" width="20.25" style="10" customWidth="1"/>
    <col min="6678" max="6679" width="19.75" style="10" customWidth="1"/>
    <col min="6680" max="6680" width="25.125" style="10" customWidth="1"/>
    <col min="6681" max="6911" width="9" style="10"/>
    <col min="6912" max="6912" width="5.25" style="10" customWidth="1"/>
    <col min="6913" max="6913" width="6.625" style="10" customWidth="1"/>
    <col min="6914" max="6914" width="22.625" style="10" customWidth="1"/>
    <col min="6915" max="6915" width="23.125" style="10" customWidth="1"/>
    <col min="6916" max="6916" width="16.625" style="10" customWidth="1"/>
    <col min="6917" max="6917" width="19.75" style="10" customWidth="1"/>
    <col min="6918" max="6918" width="20" style="10" customWidth="1"/>
    <col min="6919" max="6919" width="22.125" style="10" customWidth="1"/>
    <col min="6920" max="6920" width="22.875" style="10" customWidth="1"/>
    <col min="6921" max="6922" width="22.625" style="10" customWidth="1"/>
    <col min="6923" max="6923" width="20" style="10" customWidth="1"/>
    <col min="6924" max="6924" width="19.375" style="10" customWidth="1"/>
    <col min="6925" max="6925" width="19.75" style="10" customWidth="1"/>
    <col min="6926" max="6927" width="22.375" style="10" customWidth="1"/>
    <col min="6928" max="6928" width="23.125" style="10" customWidth="1"/>
    <col min="6929" max="6929" width="22.625" style="10" customWidth="1"/>
    <col min="6930" max="6930" width="19.5" style="10" customWidth="1"/>
    <col min="6931" max="6931" width="22.625" style="10" customWidth="1"/>
    <col min="6932" max="6932" width="22.375" style="10" customWidth="1"/>
    <col min="6933" max="6933" width="20.25" style="10" customWidth="1"/>
    <col min="6934" max="6935" width="19.75" style="10" customWidth="1"/>
    <col min="6936" max="6936" width="25.125" style="10" customWidth="1"/>
    <col min="6937" max="7167" width="9" style="10"/>
    <col min="7168" max="7168" width="5.25" style="10" customWidth="1"/>
    <col min="7169" max="7169" width="6.625" style="10" customWidth="1"/>
    <col min="7170" max="7170" width="22.625" style="10" customWidth="1"/>
    <col min="7171" max="7171" width="23.125" style="10" customWidth="1"/>
    <col min="7172" max="7172" width="16.625" style="10" customWidth="1"/>
    <col min="7173" max="7173" width="19.75" style="10" customWidth="1"/>
    <col min="7174" max="7174" width="20" style="10" customWidth="1"/>
    <col min="7175" max="7175" width="22.125" style="10" customWidth="1"/>
    <col min="7176" max="7176" width="22.875" style="10" customWidth="1"/>
    <col min="7177" max="7178" width="22.625" style="10" customWidth="1"/>
    <col min="7179" max="7179" width="20" style="10" customWidth="1"/>
    <col min="7180" max="7180" width="19.375" style="10" customWidth="1"/>
    <col min="7181" max="7181" width="19.75" style="10" customWidth="1"/>
    <col min="7182" max="7183" width="22.375" style="10" customWidth="1"/>
    <col min="7184" max="7184" width="23.125" style="10" customWidth="1"/>
    <col min="7185" max="7185" width="22.625" style="10" customWidth="1"/>
    <col min="7186" max="7186" width="19.5" style="10" customWidth="1"/>
    <col min="7187" max="7187" width="22.625" style="10" customWidth="1"/>
    <col min="7188" max="7188" width="22.375" style="10" customWidth="1"/>
    <col min="7189" max="7189" width="20.25" style="10" customWidth="1"/>
    <col min="7190" max="7191" width="19.75" style="10" customWidth="1"/>
    <col min="7192" max="7192" width="25.125" style="10" customWidth="1"/>
    <col min="7193" max="7423" width="9" style="10"/>
    <col min="7424" max="7424" width="5.25" style="10" customWidth="1"/>
    <col min="7425" max="7425" width="6.625" style="10" customWidth="1"/>
    <col min="7426" max="7426" width="22.625" style="10" customWidth="1"/>
    <col min="7427" max="7427" width="23.125" style="10" customWidth="1"/>
    <col min="7428" max="7428" width="16.625" style="10" customWidth="1"/>
    <col min="7429" max="7429" width="19.75" style="10" customWidth="1"/>
    <col min="7430" max="7430" width="20" style="10" customWidth="1"/>
    <col min="7431" max="7431" width="22.125" style="10" customWidth="1"/>
    <col min="7432" max="7432" width="22.875" style="10" customWidth="1"/>
    <col min="7433" max="7434" width="22.625" style="10" customWidth="1"/>
    <col min="7435" max="7435" width="20" style="10" customWidth="1"/>
    <col min="7436" max="7436" width="19.375" style="10" customWidth="1"/>
    <col min="7437" max="7437" width="19.75" style="10" customWidth="1"/>
    <col min="7438" max="7439" width="22.375" style="10" customWidth="1"/>
    <col min="7440" max="7440" width="23.125" style="10" customWidth="1"/>
    <col min="7441" max="7441" width="22.625" style="10" customWidth="1"/>
    <col min="7442" max="7442" width="19.5" style="10" customWidth="1"/>
    <col min="7443" max="7443" width="22.625" style="10" customWidth="1"/>
    <col min="7444" max="7444" width="22.375" style="10" customWidth="1"/>
    <col min="7445" max="7445" width="20.25" style="10" customWidth="1"/>
    <col min="7446" max="7447" width="19.75" style="10" customWidth="1"/>
    <col min="7448" max="7448" width="25.125" style="10" customWidth="1"/>
    <col min="7449" max="7679" width="9" style="10"/>
    <col min="7680" max="7680" width="5.25" style="10" customWidth="1"/>
    <col min="7681" max="7681" width="6.625" style="10" customWidth="1"/>
    <col min="7682" max="7682" width="22.625" style="10" customWidth="1"/>
    <col min="7683" max="7683" width="23.125" style="10" customWidth="1"/>
    <col min="7684" max="7684" width="16.625" style="10" customWidth="1"/>
    <col min="7685" max="7685" width="19.75" style="10" customWidth="1"/>
    <col min="7686" max="7686" width="20" style="10" customWidth="1"/>
    <col min="7687" max="7687" width="22.125" style="10" customWidth="1"/>
    <col min="7688" max="7688" width="22.875" style="10" customWidth="1"/>
    <col min="7689" max="7690" width="22.625" style="10" customWidth="1"/>
    <col min="7691" max="7691" width="20" style="10" customWidth="1"/>
    <col min="7692" max="7692" width="19.375" style="10" customWidth="1"/>
    <col min="7693" max="7693" width="19.75" style="10" customWidth="1"/>
    <col min="7694" max="7695" width="22.375" style="10" customWidth="1"/>
    <col min="7696" max="7696" width="23.125" style="10" customWidth="1"/>
    <col min="7697" max="7697" width="22.625" style="10" customWidth="1"/>
    <col min="7698" max="7698" width="19.5" style="10" customWidth="1"/>
    <col min="7699" max="7699" width="22.625" style="10" customWidth="1"/>
    <col min="7700" max="7700" width="22.375" style="10" customWidth="1"/>
    <col min="7701" max="7701" width="20.25" style="10" customWidth="1"/>
    <col min="7702" max="7703" width="19.75" style="10" customWidth="1"/>
    <col min="7704" max="7704" width="25.125" style="10" customWidth="1"/>
    <col min="7705" max="7935" width="9" style="10"/>
    <col min="7936" max="7936" width="5.25" style="10" customWidth="1"/>
    <col min="7937" max="7937" width="6.625" style="10" customWidth="1"/>
    <col min="7938" max="7938" width="22.625" style="10" customWidth="1"/>
    <col min="7939" max="7939" width="23.125" style="10" customWidth="1"/>
    <col min="7940" max="7940" width="16.625" style="10" customWidth="1"/>
    <col min="7941" max="7941" width="19.75" style="10" customWidth="1"/>
    <col min="7942" max="7942" width="20" style="10" customWidth="1"/>
    <col min="7943" max="7943" width="22.125" style="10" customWidth="1"/>
    <col min="7944" max="7944" width="22.875" style="10" customWidth="1"/>
    <col min="7945" max="7946" width="22.625" style="10" customWidth="1"/>
    <col min="7947" max="7947" width="20" style="10" customWidth="1"/>
    <col min="7948" max="7948" width="19.375" style="10" customWidth="1"/>
    <col min="7949" max="7949" width="19.75" style="10" customWidth="1"/>
    <col min="7950" max="7951" width="22.375" style="10" customWidth="1"/>
    <col min="7952" max="7952" width="23.125" style="10" customWidth="1"/>
    <col min="7953" max="7953" width="22.625" style="10" customWidth="1"/>
    <col min="7954" max="7954" width="19.5" style="10" customWidth="1"/>
    <col min="7955" max="7955" width="22.625" style="10" customWidth="1"/>
    <col min="7956" max="7956" width="22.375" style="10" customWidth="1"/>
    <col min="7957" max="7957" width="20.25" style="10" customWidth="1"/>
    <col min="7958" max="7959" width="19.75" style="10" customWidth="1"/>
    <col min="7960" max="7960" width="25.125" style="10" customWidth="1"/>
    <col min="7961" max="8191" width="9" style="10"/>
    <col min="8192" max="8192" width="5.25" style="10" customWidth="1"/>
    <col min="8193" max="8193" width="6.625" style="10" customWidth="1"/>
    <col min="8194" max="8194" width="22.625" style="10" customWidth="1"/>
    <col min="8195" max="8195" width="23.125" style="10" customWidth="1"/>
    <col min="8196" max="8196" width="16.625" style="10" customWidth="1"/>
    <col min="8197" max="8197" width="19.75" style="10" customWidth="1"/>
    <col min="8198" max="8198" width="20" style="10" customWidth="1"/>
    <col min="8199" max="8199" width="22.125" style="10" customWidth="1"/>
    <col min="8200" max="8200" width="22.875" style="10" customWidth="1"/>
    <col min="8201" max="8202" width="22.625" style="10" customWidth="1"/>
    <col min="8203" max="8203" width="20" style="10" customWidth="1"/>
    <col min="8204" max="8204" width="19.375" style="10" customWidth="1"/>
    <col min="8205" max="8205" width="19.75" style="10" customWidth="1"/>
    <col min="8206" max="8207" width="22.375" style="10" customWidth="1"/>
    <col min="8208" max="8208" width="23.125" style="10" customWidth="1"/>
    <col min="8209" max="8209" width="22.625" style="10" customWidth="1"/>
    <col min="8210" max="8210" width="19.5" style="10" customWidth="1"/>
    <col min="8211" max="8211" width="22.625" style="10" customWidth="1"/>
    <col min="8212" max="8212" width="22.375" style="10" customWidth="1"/>
    <col min="8213" max="8213" width="20.25" style="10" customWidth="1"/>
    <col min="8214" max="8215" width="19.75" style="10" customWidth="1"/>
    <col min="8216" max="8216" width="25.125" style="10" customWidth="1"/>
    <col min="8217" max="8447" width="9" style="10"/>
    <col min="8448" max="8448" width="5.25" style="10" customWidth="1"/>
    <col min="8449" max="8449" width="6.625" style="10" customWidth="1"/>
    <col min="8450" max="8450" width="22.625" style="10" customWidth="1"/>
    <col min="8451" max="8451" width="23.125" style="10" customWidth="1"/>
    <col min="8452" max="8452" width="16.625" style="10" customWidth="1"/>
    <col min="8453" max="8453" width="19.75" style="10" customWidth="1"/>
    <col min="8454" max="8454" width="20" style="10" customWidth="1"/>
    <col min="8455" max="8455" width="22.125" style="10" customWidth="1"/>
    <col min="8456" max="8456" width="22.875" style="10" customWidth="1"/>
    <col min="8457" max="8458" width="22.625" style="10" customWidth="1"/>
    <col min="8459" max="8459" width="20" style="10" customWidth="1"/>
    <col min="8460" max="8460" width="19.375" style="10" customWidth="1"/>
    <col min="8461" max="8461" width="19.75" style="10" customWidth="1"/>
    <col min="8462" max="8463" width="22.375" style="10" customWidth="1"/>
    <col min="8464" max="8464" width="23.125" style="10" customWidth="1"/>
    <col min="8465" max="8465" width="22.625" style="10" customWidth="1"/>
    <col min="8466" max="8466" width="19.5" style="10" customWidth="1"/>
    <col min="8467" max="8467" width="22.625" style="10" customWidth="1"/>
    <col min="8468" max="8468" width="22.375" style="10" customWidth="1"/>
    <col min="8469" max="8469" width="20.25" style="10" customWidth="1"/>
    <col min="8470" max="8471" width="19.75" style="10" customWidth="1"/>
    <col min="8472" max="8472" width="25.125" style="10" customWidth="1"/>
    <col min="8473" max="8703" width="9" style="10"/>
    <col min="8704" max="8704" width="5.25" style="10" customWidth="1"/>
    <col min="8705" max="8705" width="6.625" style="10" customWidth="1"/>
    <col min="8706" max="8706" width="22.625" style="10" customWidth="1"/>
    <col min="8707" max="8707" width="23.125" style="10" customWidth="1"/>
    <col min="8708" max="8708" width="16.625" style="10" customWidth="1"/>
    <col min="8709" max="8709" width="19.75" style="10" customWidth="1"/>
    <col min="8710" max="8710" width="20" style="10" customWidth="1"/>
    <col min="8711" max="8711" width="22.125" style="10" customWidth="1"/>
    <col min="8712" max="8712" width="22.875" style="10" customWidth="1"/>
    <col min="8713" max="8714" width="22.625" style="10" customWidth="1"/>
    <col min="8715" max="8715" width="20" style="10" customWidth="1"/>
    <col min="8716" max="8716" width="19.375" style="10" customWidth="1"/>
    <col min="8717" max="8717" width="19.75" style="10" customWidth="1"/>
    <col min="8718" max="8719" width="22.375" style="10" customWidth="1"/>
    <col min="8720" max="8720" width="23.125" style="10" customWidth="1"/>
    <col min="8721" max="8721" width="22.625" style="10" customWidth="1"/>
    <col min="8722" max="8722" width="19.5" style="10" customWidth="1"/>
    <col min="8723" max="8723" width="22.625" style="10" customWidth="1"/>
    <col min="8724" max="8724" width="22.375" style="10" customWidth="1"/>
    <col min="8725" max="8725" width="20.25" style="10" customWidth="1"/>
    <col min="8726" max="8727" width="19.75" style="10" customWidth="1"/>
    <col min="8728" max="8728" width="25.125" style="10" customWidth="1"/>
    <col min="8729" max="8959" width="9" style="10"/>
    <col min="8960" max="8960" width="5.25" style="10" customWidth="1"/>
    <col min="8961" max="8961" width="6.625" style="10" customWidth="1"/>
    <col min="8962" max="8962" width="22.625" style="10" customWidth="1"/>
    <col min="8963" max="8963" width="23.125" style="10" customWidth="1"/>
    <col min="8964" max="8964" width="16.625" style="10" customWidth="1"/>
    <col min="8965" max="8965" width="19.75" style="10" customWidth="1"/>
    <col min="8966" max="8966" width="20" style="10" customWidth="1"/>
    <col min="8967" max="8967" width="22.125" style="10" customWidth="1"/>
    <col min="8968" max="8968" width="22.875" style="10" customWidth="1"/>
    <col min="8969" max="8970" width="22.625" style="10" customWidth="1"/>
    <col min="8971" max="8971" width="20" style="10" customWidth="1"/>
    <col min="8972" max="8972" width="19.375" style="10" customWidth="1"/>
    <col min="8973" max="8973" width="19.75" style="10" customWidth="1"/>
    <col min="8974" max="8975" width="22.375" style="10" customWidth="1"/>
    <col min="8976" max="8976" width="23.125" style="10" customWidth="1"/>
    <col min="8977" max="8977" width="22.625" style="10" customWidth="1"/>
    <col min="8978" max="8978" width="19.5" style="10" customWidth="1"/>
    <col min="8979" max="8979" width="22.625" style="10" customWidth="1"/>
    <col min="8980" max="8980" width="22.375" style="10" customWidth="1"/>
    <col min="8981" max="8981" width="20.25" style="10" customWidth="1"/>
    <col min="8982" max="8983" width="19.75" style="10" customWidth="1"/>
    <col min="8984" max="8984" width="25.125" style="10" customWidth="1"/>
    <col min="8985" max="9215" width="9" style="10"/>
    <col min="9216" max="9216" width="5.25" style="10" customWidth="1"/>
    <col min="9217" max="9217" width="6.625" style="10" customWidth="1"/>
    <col min="9218" max="9218" width="22.625" style="10" customWidth="1"/>
    <col min="9219" max="9219" width="23.125" style="10" customWidth="1"/>
    <col min="9220" max="9220" width="16.625" style="10" customWidth="1"/>
    <col min="9221" max="9221" width="19.75" style="10" customWidth="1"/>
    <col min="9222" max="9222" width="20" style="10" customWidth="1"/>
    <col min="9223" max="9223" width="22.125" style="10" customWidth="1"/>
    <col min="9224" max="9224" width="22.875" style="10" customWidth="1"/>
    <col min="9225" max="9226" width="22.625" style="10" customWidth="1"/>
    <col min="9227" max="9227" width="20" style="10" customWidth="1"/>
    <col min="9228" max="9228" width="19.375" style="10" customWidth="1"/>
    <col min="9229" max="9229" width="19.75" style="10" customWidth="1"/>
    <col min="9230" max="9231" width="22.375" style="10" customWidth="1"/>
    <col min="9232" max="9232" width="23.125" style="10" customWidth="1"/>
    <col min="9233" max="9233" width="22.625" style="10" customWidth="1"/>
    <col min="9234" max="9234" width="19.5" style="10" customWidth="1"/>
    <col min="9235" max="9235" width="22.625" style="10" customWidth="1"/>
    <col min="9236" max="9236" width="22.375" style="10" customWidth="1"/>
    <col min="9237" max="9237" width="20.25" style="10" customWidth="1"/>
    <col min="9238" max="9239" width="19.75" style="10" customWidth="1"/>
    <col min="9240" max="9240" width="25.125" style="10" customWidth="1"/>
    <col min="9241" max="9471" width="9" style="10"/>
    <col min="9472" max="9472" width="5.25" style="10" customWidth="1"/>
    <col min="9473" max="9473" width="6.625" style="10" customWidth="1"/>
    <col min="9474" max="9474" width="22.625" style="10" customWidth="1"/>
    <col min="9475" max="9475" width="23.125" style="10" customWidth="1"/>
    <col min="9476" max="9476" width="16.625" style="10" customWidth="1"/>
    <col min="9477" max="9477" width="19.75" style="10" customWidth="1"/>
    <col min="9478" max="9478" width="20" style="10" customWidth="1"/>
    <col min="9479" max="9479" width="22.125" style="10" customWidth="1"/>
    <col min="9480" max="9480" width="22.875" style="10" customWidth="1"/>
    <col min="9481" max="9482" width="22.625" style="10" customWidth="1"/>
    <col min="9483" max="9483" width="20" style="10" customWidth="1"/>
    <col min="9484" max="9484" width="19.375" style="10" customWidth="1"/>
    <col min="9485" max="9485" width="19.75" style="10" customWidth="1"/>
    <col min="9486" max="9487" width="22.375" style="10" customWidth="1"/>
    <col min="9488" max="9488" width="23.125" style="10" customWidth="1"/>
    <col min="9489" max="9489" width="22.625" style="10" customWidth="1"/>
    <col min="9490" max="9490" width="19.5" style="10" customWidth="1"/>
    <col min="9491" max="9491" width="22.625" style="10" customWidth="1"/>
    <col min="9492" max="9492" width="22.375" style="10" customWidth="1"/>
    <col min="9493" max="9493" width="20.25" style="10" customWidth="1"/>
    <col min="9494" max="9495" width="19.75" style="10" customWidth="1"/>
    <col min="9496" max="9496" width="25.125" style="10" customWidth="1"/>
    <col min="9497" max="9727" width="9" style="10"/>
    <col min="9728" max="9728" width="5.25" style="10" customWidth="1"/>
    <col min="9729" max="9729" width="6.625" style="10" customWidth="1"/>
    <col min="9730" max="9730" width="22.625" style="10" customWidth="1"/>
    <col min="9731" max="9731" width="23.125" style="10" customWidth="1"/>
    <col min="9732" max="9732" width="16.625" style="10" customWidth="1"/>
    <col min="9733" max="9733" width="19.75" style="10" customWidth="1"/>
    <col min="9734" max="9734" width="20" style="10" customWidth="1"/>
    <col min="9735" max="9735" width="22.125" style="10" customWidth="1"/>
    <col min="9736" max="9736" width="22.875" style="10" customWidth="1"/>
    <col min="9737" max="9738" width="22.625" style="10" customWidth="1"/>
    <col min="9739" max="9739" width="20" style="10" customWidth="1"/>
    <col min="9740" max="9740" width="19.375" style="10" customWidth="1"/>
    <col min="9741" max="9741" width="19.75" style="10" customWidth="1"/>
    <col min="9742" max="9743" width="22.375" style="10" customWidth="1"/>
    <col min="9744" max="9744" width="23.125" style="10" customWidth="1"/>
    <col min="9745" max="9745" width="22.625" style="10" customWidth="1"/>
    <col min="9746" max="9746" width="19.5" style="10" customWidth="1"/>
    <col min="9747" max="9747" width="22.625" style="10" customWidth="1"/>
    <col min="9748" max="9748" width="22.375" style="10" customWidth="1"/>
    <col min="9749" max="9749" width="20.25" style="10" customWidth="1"/>
    <col min="9750" max="9751" width="19.75" style="10" customWidth="1"/>
    <col min="9752" max="9752" width="25.125" style="10" customWidth="1"/>
    <col min="9753" max="9983" width="9" style="10"/>
    <col min="9984" max="9984" width="5.25" style="10" customWidth="1"/>
    <col min="9985" max="9985" width="6.625" style="10" customWidth="1"/>
    <col min="9986" max="9986" width="22.625" style="10" customWidth="1"/>
    <col min="9987" max="9987" width="23.125" style="10" customWidth="1"/>
    <col min="9988" max="9988" width="16.625" style="10" customWidth="1"/>
    <col min="9989" max="9989" width="19.75" style="10" customWidth="1"/>
    <col min="9990" max="9990" width="20" style="10" customWidth="1"/>
    <col min="9991" max="9991" width="22.125" style="10" customWidth="1"/>
    <col min="9992" max="9992" width="22.875" style="10" customWidth="1"/>
    <col min="9993" max="9994" width="22.625" style="10" customWidth="1"/>
    <col min="9995" max="9995" width="20" style="10" customWidth="1"/>
    <col min="9996" max="9996" width="19.375" style="10" customWidth="1"/>
    <col min="9997" max="9997" width="19.75" style="10" customWidth="1"/>
    <col min="9998" max="9999" width="22.375" style="10" customWidth="1"/>
    <col min="10000" max="10000" width="23.125" style="10" customWidth="1"/>
    <col min="10001" max="10001" width="22.625" style="10" customWidth="1"/>
    <col min="10002" max="10002" width="19.5" style="10" customWidth="1"/>
    <col min="10003" max="10003" width="22.625" style="10" customWidth="1"/>
    <col min="10004" max="10004" width="22.375" style="10" customWidth="1"/>
    <col min="10005" max="10005" width="20.25" style="10" customWidth="1"/>
    <col min="10006" max="10007" width="19.75" style="10" customWidth="1"/>
    <col min="10008" max="10008" width="25.125" style="10" customWidth="1"/>
    <col min="10009" max="10239" width="9" style="10"/>
    <col min="10240" max="10240" width="5.25" style="10" customWidth="1"/>
    <col min="10241" max="10241" width="6.625" style="10" customWidth="1"/>
    <col min="10242" max="10242" width="22.625" style="10" customWidth="1"/>
    <col min="10243" max="10243" width="23.125" style="10" customWidth="1"/>
    <col min="10244" max="10244" width="16.625" style="10" customWidth="1"/>
    <col min="10245" max="10245" width="19.75" style="10" customWidth="1"/>
    <col min="10246" max="10246" width="20" style="10" customWidth="1"/>
    <col min="10247" max="10247" width="22.125" style="10" customWidth="1"/>
    <col min="10248" max="10248" width="22.875" style="10" customWidth="1"/>
    <col min="10249" max="10250" width="22.625" style="10" customWidth="1"/>
    <col min="10251" max="10251" width="20" style="10" customWidth="1"/>
    <col min="10252" max="10252" width="19.375" style="10" customWidth="1"/>
    <col min="10253" max="10253" width="19.75" style="10" customWidth="1"/>
    <col min="10254" max="10255" width="22.375" style="10" customWidth="1"/>
    <col min="10256" max="10256" width="23.125" style="10" customWidth="1"/>
    <col min="10257" max="10257" width="22.625" style="10" customWidth="1"/>
    <col min="10258" max="10258" width="19.5" style="10" customWidth="1"/>
    <col min="10259" max="10259" width="22.625" style="10" customWidth="1"/>
    <col min="10260" max="10260" width="22.375" style="10" customWidth="1"/>
    <col min="10261" max="10261" width="20.25" style="10" customWidth="1"/>
    <col min="10262" max="10263" width="19.75" style="10" customWidth="1"/>
    <col min="10264" max="10264" width="25.125" style="10" customWidth="1"/>
    <col min="10265" max="10495" width="9" style="10"/>
    <col min="10496" max="10496" width="5.25" style="10" customWidth="1"/>
    <col min="10497" max="10497" width="6.625" style="10" customWidth="1"/>
    <col min="10498" max="10498" width="22.625" style="10" customWidth="1"/>
    <col min="10499" max="10499" width="23.125" style="10" customWidth="1"/>
    <col min="10500" max="10500" width="16.625" style="10" customWidth="1"/>
    <col min="10501" max="10501" width="19.75" style="10" customWidth="1"/>
    <col min="10502" max="10502" width="20" style="10" customWidth="1"/>
    <col min="10503" max="10503" width="22.125" style="10" customWidth="1"/>
    <col min="10504" max="10504" width="22.875" style="10" customWidth="1"/>
    <col min="10505" max="10506" width="22.625" style="10" customWidth="1"/>
    <col min="10507" max="10507" width="20" style="10" customWidth="1"/>
    <col min="10508" max="10508" width="19.375" style="10" customWidth="1"/>
    <col min="10509" max="10509" width="19.75" style="10" customWidth="1"/>
    <col min="10510" max="10511" width="22.375" style="10" customWidth="1"/>
    <col min="10512" max="10512" width="23.125" style="10" customWidth="1"/>
    <col min="10513" max="10513" width="22.625" style="10" customWidth="1"/>
    <col min="10514" max="10514" width="19.5" style="10" customWidth="1"/>
    <col min="10515" max="10515" width="22.625" style="10" customWidth="1"/>
    <col min="10516" max="10516" width="22.375" style="10" customWidth="1"/>
    <col min="10517" max="10517" width="20.25" style="10" customWidth="1"/>
    <col min="10518" max="10519" width="19.75" style="10" customWidth="1"/>
    <col min="10520" max="10520" width="25.125" style="10" customWidth="1"/>
    <col min="10521" max="10751" width="9" style="10"/>
    <col min="10752" max="10752" width="5.25" style="10" customWidth="1"/>
    <col min="10753" max="10753" width="6.625" style="10" customWidth="1"/>
    <col min="10754" max="10754" width="22.625" style="10" customWidth="1"/>
    <col min="10755" max="10755" width="23.125" style="10" customWidth="1"/>
    <col min="10756" max="10756" width="16.625" style="10" customWidth="1"/>
    <col min="10757" max="10757" width="19.75" style="10" customWidth="1"/>
    <col min="10758" max="10758" width="20" style="10" customWidth="1"/>
    <col min="10759" max="10759" width="22.125" style="10" customWidth="1"/>
    <col min="10760" max="10760" width="22.875" style="10" customWidth="1"/>
    <col min="10761" max="10762" width="22.625" style="10" customWidth="1"/>
    <col min="10763" max="10763" width="20" style="10" customWidth="1"/>
    <col min="10764" max="10764" width="19.375" style="10" customWidth="1"/>
    <col min="10765" max="10765" width="19.75" style="10" customWidth="1"/>
    <col min="10766" max="10767" width="22.375" style="10" customWidth="1"/>
    <col min="10768" max="10768" width="23.125" style="10" customWidth="1"/>
    <col min="10769" max="10769" width="22.625" style="10" customWidth="1"/>
    <col min="10770" max="10770" width="19.5" style="10" customWidth="1"/>
    <col min="10771" max="10771" width="22.625" style="10" customWidth="1"/>
    <col min="10772" max="10772" width="22.375" style="10" customWidth="1"/>
    <col min="10773" max="10773" width="20.25" style="10" customWidth="1"/>
    <col min="10774" max="10775" width="19.75" style="10" customWidth="1"/>
    <col min="10776" max="10776" width="25.125" style="10" customWidth="1"/>
    <col min="10777" max="11007" width="9" style="10"/>
    <col min="11008" max="11008" width="5.25" style="10" customWidth="1"/>
    <col min="11009" max="11009" width="6.625" style="10" customWidth="1"/>
    <col min="11010" max="11010" width="22.625" style="10" customWidth="1"/>
    <col min="11011" max="11011" width="23.125" style="10" customWidth="1"/>
    <col min="11012" max="11012" width="16.625" style="10" customWidth="1"/>
    <col min="11013" max="11013" width="19.75" style="10" customWidth="1"/>
    <col min="11014" max="11014" width="20" style="10" customWidth="1"/>
    <col min="11015" max="11015" width="22.125" style="10" customWidth="1"/>
    <col min="11016" max="11016" width="22.875" style="10" customWidth="1"/>
    <col min="11017" max="11018" width="22.625" style="10" customWidth="1"/>
    <col min="11019" max="11019" width="20" style="10" customWidth="1"/>
    <col min="11020" max="11020" width="19.375" style="10" customWidth="1"/>
    <col min="11021" max="11021" width="19.75" style="10" customWidth="1"/>
    <col min="11022" max="11023" width="22.375" style="10" customWidth="1"/>
    <col min="11024" max="11024" width="23.125" style="10" customWidth="1"/>
    <col min="11025" max="11025" width="22.625" style="10" customWidth="1"/>
    <col min="11026" max="11026" width="19.5" style="10" customWidth="1"/>
    <col min="11027" max="11027" width="22.625" style="10" customWidth="1"/>
    <col min="11028" max="11028" width="22.375" style="10" customWidth="1"/>
    <col min="11029" max="11029" width="20.25" style="10" customWidth="1"/>
    <col min="11030" max="11031" width="19.75" style="10" customWidth="1"/>
    <col min="11032" max="11032" width="25.125" style="10" customWidth="1"/>
    <col min="11033" max="11263" width="9" style="10"/>
    <col min="11264" max="11264" width="5.25" style="10" customWidth="1"/>
    <col min="11265" max="11265" width="6.625" style="10" customWidth="1"/>
    <col min="11266" max="11266" width="22.625" style="10" customWidth="1"/>
    <col min="11267" max="11267" width="23.125" style="10" customWidth="1"/>
    <col min="11268" max="11268" width="16.625" style="10" customWidth="1"/>
    <col min="11269" max="11269" width="19.75" style="10" customWidth="1"/>
    <col min="11270" max="11270" width="20" style="10" customWidth="1"/>
    <col min="11271" max="11271" width="22.125" style="10" customWidth="1"/>
    <col min="11272" max="11272" width="22.875" style="10" customWidth="1"/>
    <col min="11273" max="11274" width="22.625" style="10" customWidth="1"/>
    <col min="11275" max="11275" width="20" style="10" customWidth="1"/>
    <col min="11276" max="11276" width="19.375" style="10" customWidth="1"/>
    <col min="11277" max="11277" width="19.75" style="10" customWidth="1"/>
    <col min="11278" max="11279" width="22.375" style="10" customWidth="1"/>
    <col min="11280" max="11280" width="23.125" style="10" customWidth="1"/>
    <col min="11281" max="11281" width="22.625" style="10" customWidth="1"/>
    <col min="11282" max="11282" width="19.5" style="10" customWidth="1"/>
    <col min="11283" max="11283" width="22.625" style="10" customWidth="1"/>
    <col min="11284" max="11284" width="22.375" style="10" customWidth="1"/>
    <col min="11285" max="11285" width="20.25" style="10" customWidth="1"/>
    <col min="11286" max="11287" width="19.75" style="10" customWidth="1"/>
    <col min="11288" max="11288" width="25.125" style="10" customWidth="1"/>
    <col min="11289" max="11519" width="9" style="10"/>
    <col min="11520" max="11520" width="5.25" style="10" customWidth="1"/>
    <col min="11521" max="11521" width="6.625" style="10" customWidth="1"/>
    <col min="11522" max="11522" width="22.625" style="10" customWidth="1"/>
    <col min="11523" max="11523" width="23.125" style="10" customWidth="1"/>
    <col min="11524" max="11524" width="16.625" style="10" customWidth="1"/>
    <col min="11525" max="11525" width="19.75" style="10" customWidth="1"/>
    <col min="11526" max="11526" width="20" style="10" customWidth="1"/>
    <col min="11527" max="11527" width="22.125" style="10" customWidth="1"/>
    <col min="11528" max="11528" width="22.875" style="10" customWidth="1"/>
    <col min="11529" max="11530" width="22.625" style="10" customWidth="1"/>
    <col min="11531" max="11531" width="20" style="10" customWidth="1"/>
    <col min="11532" max="11532" width="19.375" style="10" customWidth="1"/>
    <col min="11533" max="11533" width="19.75" style="10" customWidth="1"/>
    <col min="11534" max="11535" width="22.375" style="10" customWidth="1"/>
    <col min="11536" max="11536" width="23.125" style="10" customWidth="1"/>
    <col min="11537" max="11537" width="22.625" style="10" customWidth="1"/>
    <col min="11538" max="11538" width="19.5" style="10" customWidth="1"/>
    <col min="11539" max="11539" width="22.625" style="10" customWidth="1"/>
    <col min="11540" max="11540" width="22.375" style="10" customWidth="1"/>
    <col min="11541" max="11541" width="20.25" style="10" customWidth="1"/>
    <col min="11542" max="11543" width="19.75" style="10" customWidth="1"/>
    <col min="11544" max="11544" width="25.125" style="10" customWidth="1"/>
    <col min="11545" max="11775" width="9" style="10"/>
    <col min="11776" max="11776" width="5.25" style="10" customWidth="1"/>
    <col min="11777" max="11777" width="6.625" style="10" customWidth="1"/>
    <col min="11778" max="11778" width="22.625" style="10" customWidth="1"/>
    <col min="11779" max="11779" width="23.125" style="10" customWidth="1"/>
    <col min="11780" max="11780" width="16.625" style="10" customWidth="1"/>
    <col min="11781" max="11781" width="19.75" style="10" customWidth="1"/>
    <col min="11782" max="11782" width="20" style="10" customWidth="1"/>
    <col min="11783" max="11783" width="22.125" style="10" customWidth="1"/>
    <col min="11784" max="11784" width="22.875" style="10" customWidth="1"/>
    <col min="11785" max="11786" width="22.625" style="10" customWidth="1"/>
    <col min="11787" max="11787" width="20" style="10" customWidth="1"/>
    <col min="11788" max="11788" width="19.375" style="10" customWidth="1"/>
    <col min="11789" max="11789" width="19.75" style="10" customWidth="1"/>
    <col min="11790" max="11791" width="22.375" style="10" customWidth="1"/>
    <col min="11792" max="11792" width="23.125" style="10" customWidth="1"/>
    <col min="11793" max="11793" width="22.625" style="10" customWidth="1"/>
    <col min="11794" max="11794" width="19.5" style="10" customWidth="1"/>
    <col min="11795" max="11795" width="22.625" style="10" customWidth="1"/>
    <col min="11796" max="11796" width="22.375" style="10" customWidth="1"/>
    <col min="11797" max="11797" width="20.25" style="10" customWidth="1"/>
    <col min="11798" max="11799" width="19.75" style="10" customWidth="1"/>
    <col min="11800" max="11800" width="25.125" style="10" customWidth="1"/>
    <col min="11801" max="12031" width="9" style="10"/>
    <col min="12032" max="12032" width="5.25" style="10" customWidth="1"/>
    <col min="12033" max="12033" width="6.625" style="10" customWidth="1"/>
    <col min="12034" max="12034" width="22.625" style="10" customWidth="1"/>
    <col min="12035" max="12035" width="23.125" style="10" customWidth="1"/>
    <col min="12036" max="12036" width="16.625" style="10" customWidth="1"/>
    <col min="12037" max="12037" width="19.75" style="10" customWidth="1"/>
    <col min="12038" max="12038" width="20" style="10" customWidth="1"/>
    <col min="12039" max="12039" width="22.125" style="10" customWidth="1"/>
    <col min="12040" max="12040" width="22.875" style="10" customWidth="1"/>
    <col min="12041" max="12042" width="22.625" style="10" customWidth="1"/>
    <col min="12043" max="12043" width="20" style="10" customWidth="1"/>
    <col min="12044" max="12044" width="19.375" style="10" customWidth="1"/>
    <col min="12045" max="12045" width="19.75" style="10" customWidth="1"/>
    <col min="12046" max="12047" width="22.375" style="10" customWidth="1"/>
    <col min="12048" max="12048" width="23.125" style="10" customWidth="1"/>
    <col min="12049" max="12049" width="22.625" style="10" customWidth="1"/>
    <col min="12050" max="12050" width="19.5" style="10" customWidth="1"/>
    <col min="12051" max="12051" width="22.625" style="10" customWidth="1"/>
    <col min="12052" max="12052" width="22.375" style="10" customWidth="1"/>
    <col min="12053" max="12053" width="20.25" style="10" customWidth="1"/>
    <col min="12054" max="12055" width="19.75" style="10" customWidth="1"/>
    <col min="12056" max="12056" width="25.125" style="10" customWidth="1"/>
    <col min="12057" max="12287" width="9" style="10"/>
    <col min="12288" max="12288" width="5.25" style="10" customWidth="1"/>
    <col min="12289" max="12289" width="6.625" style="10" customWidth="1"/>
    <col min="12290" max="12290" width="22.625" style="10" customWidth="1"/>
    <col min="12291" max="12291" width="23.125" style="10" customWidth="1"/>
    <col min="12292" max="12292" width="16.625" style="10" customWidth="1"/>
    <col min="12293" max="12293" width="19.75" style="10" customWidth="1"/>
    <col min="12294" max="12294" width="20" style="10" customWidth="1"/>
    <col min="12295" max="12295" width="22.125" style="10" customWidth="1"/>
    <col min="12296" max="12296" width="22.875" style="10" customWidth="1"/>
    <col min="12297" max="12298" width="22.625" style="10" customWidth="1"/>
    <col min="12299" max="12299" width="20" style="10" customWidth="1"/>
    <col min="12300" max="12300" width="19.375" style="10" customWidth="1"/>
    <col min="12301" max="12301" width="19.75" style="10" customWidth="1"/>
    <col min="12302" max="12303" width="22.375" style="10" customWidth="1"/>
    <col min="12304" max="12304" width="23.125" style="10" customWidth="1"/>
    <col min="12305" max="12305" width="22.625" style="10" customWidth="1"/>
    <col min="12306" max="12306" width="19.5" style="10" customWidth="1"/>
    <col min="12307" max="12307" width="22.625" style="10" customWidth="1"/>
    <col min="12308" max="12308" width="22.375" style="10" customWidth="1"/>
    <col min="12309" max="12309" width="20.25" style="10" customWidth="1"/>
    <col min="12310" max="12311" width="19.75" style="10" customWidth="1"/>
    <col min="12312" max="12312" width="25.125" style="10" customWidth="1"/>
    <col min="12313" max="12543" width="9" style="10"/>
    <col min="12544" max="12544" width="5.25" style="10" customWidth="1"/>
    <col min="12545" max="12545" width="6.625" style="10" customWidth="1"/>
    <col min="12546" max="12546" width="22.625" style="10" customWidth="1"/>
    <col min="12547" max="12547" width="23.125" style="10" customWidth="1"/>
    <col min="12548" max="12548" width="16.625" style="10" customWidth="1"/>
    <col min="12549" max="12549" width="19.75" style="10" customWidth="1"/>
    <col min="12550" max="12550" width="20" style="10" customWidth="1"/>
    <col min="12551" max="12551" width="22.125" style="10" customWidth="1"/>
    <col min="12552" max="12552" width="22.875" style="10" customWidth="1"/>
    <col min="12553" max="12554" width="22.625" style="10" customWidth="1"/>
    <col min="12555" max="12555" width="20" style="10" customWidth="1"/>
    <col min="12556" max="12556" width="19.375" style="10" customWidth="1"/>
    <col min="12557" max="12557" width="19.75" style="10" customWidth="1"/>
    <col min="12558" max="12559" width="22.375" style="10" customWidth="1"/>
    <col min="12560" max="12560" width="23.125" style="10" customWidth="1"/>
    <col min="12561" max="12561" width="22.625" style="10" customWidth="1"/>
    <col min="12562" max="12562" width="19.5" style="10" customWidth="1"/>
    <col min="12563" max="12563" width="22.625" style="10" customWidth="1"/>
    <col min="12564" max="12564" width="22.375" style="10" customWidth="1"/>
    <col min="12565" max="12565" width="20.25" style="10" customWidth="1"/>
    <col min="12566" max="12567" width="19.75" style="10" customWidth="1"/>
    <col min="12568" max="12568" width="25.125" style="10" customWidth="1"/>
    <col min="12569" max="12799" width="9" style="10"/>
    <col min="12800" max="12800" width="5.25" style="10" customWidth="1"/>
    <col min="12801" max="12801" width="6.625" style="10" customWidth="1"/>
    <col min="12802" max="12802" width="22.625" style="10" customWidth="1"/>
    <col min="12803" max="12803" width="23.125" style="10" customWidth="1"/>
    <col min="12804" max="12804" width="16.625" style="10" customWidth="1"/>
    <col min="12805" max="12805" width="19.75" style="10" customWidth="1"/>
    <col min="12806" max="12806" width="20" style="10" customWidth="1"/>
    <col min="12807" max="12807" width="22.125" style="10" customWidth="1"/>
    <col min="12808" max="12808" width="22.875" style="10" customWidth="1"/>
    <col min="12809" max="12810" width="22.625" style="10" customWidth="1"/>
    <col min="12811" max="12811" width="20" style="10" customWidth="1"/>
    <col min="12812" max="12812" width="19.375" style="10" customWidth="1"/>
    <col min="12813" max="12813" width="19.75" style="10" customWidth="1"/>
    <col min="12814" max="12815" width="22.375" style="10" customWidth="1"/>
    <col min="12816" max="12816" width="23.125" style="10" customWidth="1"/>
    <col min="12817" max="12817" width="22.625" style="10" customWidth="1"/>
    <col min="12818" max="12818" width="19.5" style="10" customWidth="1"/>
    <col min="12819" max="12819" width="22.625" style="10" customWidth="1"/>
    <col min="12820" max="12820" width="22.375" style="10" customWidth="1"/>
    <col min="12821" max="12821" width="20.25" style="10" customWidth="1"/>
    <col min="12822" max="12823" width="19.75" style="10" customWidth="1"/>
    <col min="12824" max="12824" width="25.125" style="10" customWidth="1"/>
    <col min="12825" max="13055" width="9" style="10"/>
    <col min="13056" max="13056" width="5.25" style="10" customWidth="1"/>
    <col min="13057" max="13057" width="6.625" style="10" customWidth="1"/>
    <col min="13058" max="13058" width="22.625" style="10" customWidth="1"/>
    <col min="13059" max="13059" width="23.125" style="10" customWidth="1"/>
    <col min="13060" max="13060" width="16.625" style="10" customWidth="1"/>
    <col min="13061" max="13061" width="19.75" style="10" customWidth="1"/>
    <col min="13062" max="13062" width="20" style="10" customWidth="1"/>
    <col min="13063" max="13063" width="22.125" style="10" customWidth="1"/>
    <col min="13064" max="13064" width="22.875" style="10" customWidth="1"/>
    <col min="13065" max="13066" width="22.625" style="10" customWidth="1"/>
    <col min="13067" max="13067" width="20" style="10" customWidth="1"/>
    <col min="13068" max="13068" width="19.375" style="10" customWidth="1"/>
    <col min="13069" max="13069" width="19.75" style="10" customWidth="1"/>
    <col min="13070" max="13071" width="22.375" style="10" customWidth="1"/>
    <col min="13072" max="13072" width="23.125" style="10" customWidth="1"/>
    <col min="13073" max="13073" width="22.625" style="10" customWidth="1"/>
    <col min="13074" max="13074" width="19.5" style="10" customWidth="1"/>
    <col min="13075" max="13075" width="22.625" style="10" customWidth="1"/>
    <col min="13076" max="13076" width="22.375" style="10" customWidth="1"/>
    <col min="13077" max="13077" width="20.25" style="10" customWidth="1"/>
    <col min="13078" max="13079" width="19.75" style="10" customWidth="1"/>
    <col min="13080" max="13080" width="25.125" style="10" customWidth="1"/>
    <col min="13081" max="13311" width="9" style="10"/>
    <col min="13312" max="13312" width="5.25" style="10" customWidth="1"/>
    <col min="13313" max="13313" width="6.625" style="10" customWidth="1"/>
    <col min="13314" max="13314" width="22.625" style="10" customWidth="1"/>
    <col min="13315" max="13315" width="23.125" style="10" customWidth="1"/>
    <col min="13316" max="13316" width="16.625" style="10" customWidth="1"/>
    <col min="13317" max="13317" width="19.75" style="10" customWidth="1"/>
    <col min="13318" max="13318" width="20" style="10" customWidth="1"/>
    <col min="13319" max="13319" width="22.125" style="10" customWidth="1"/>
    <col min="13320" max="13320" width="22.875" style="10" customWidth="1"/>
    <col min="13321" max="13322" width="22.625" style="10" customWidth="1"/>
    <col min="13323" max="13323" width="20" style="10" customWidth="1"/>
    <col min="13324" max="13324" width="19.375" style="10" customWidth="1"/>
    <col min="13325" max="13325" width="19.75" style="10" customWidth="1"/>
    <col min="13326" max="13327" width="22.375" style="10" customWidth="1"/>
    <col min="13328" max="13328" width="23.125" style="10" customWidth="1"/>
    <col min="13329" max="13329" width="22.625" style="10" customWidth="1"/>
    <col min="13330" max="13330" width="19.5" style="10" customWidth="1"/>
    <col min="13331" max="13331" width="22.625" style="10" customWidth="1"/>
    <col min="13332" max="13332" width="22.375" style="10" customWidth="1"/>
    <col min="13333" max="13333" width="20.25" style="10" customWidth="1"/>
    <col min="13334" max="13335" width="19.75" style="10" customWidth="1"/>
    <col min="13336" max="13336" width="25.125" style="10" customWidth="1"/>
    <col min="13337" max="13567" width="9" style="10"/>
    <col min="13568" max="13568" width="5.25" style="10" customWidth="1"/>
    <col min="13569" max="13569" width="6.625" style="10" customWidth="1"/>
    <col min="13570" max="13570" width="22.625" style="10" customWidth="1"/>
    <col min="13571" max="13571" width="23.125" style="10" customWidth="1"/>
    <col min="13572" max="13572" width="16.625" style="10" customWidth="1"/>
    <col min="13573" max="13573" width="19.75" style="10" customWidth="1"/>
    <col min="13574" max="13574" width="20" style="10" customWidth="1"/>
    <col min="13575" max="13575" width="22.125" style="10" customWidth="1"/>
    <col min="13576" max="13576" width="22.875" style="10" customWidth="1"/>
    <col min="13577" max="13578" width="22.625" style="10" customWidth="1"/>
    <col min="13579" max="13579" width="20" style="10" customWidth="1"/>
    <col min="13580" max="13580" width="19.375" style="10" customWidth="1"/>
    <col min="13581" max="13581" width="19.75" style="10" customWidth="1"/>
    <col min="13582" max="13583" width="22.375" style="10" customWidth="1"/>
    <col min="13584" max="13584" width="23.125" style="10" customWidth="1"/>
    <col min="13585" max="13585" width="22.625" style="10" customWidth="1"/>
    <col min="13586" max="13586" width="19.5" style="10" customWidth="1"/>
    <col min="13587" max="13587" width="22.625" style="10" customWidth="1"/>
    <col min="13588" max="13588" width="22.375" style="10" customWidth="1"/>
    <col min="13589" max="13589" width="20.25" style="10" customWidth="1"/>
    <col min="13590" max="13591" width="19.75" style="10" customWidth="1"/>
    <col min="13592" max="13592" width="25.125" style="10" customWidth="1"/>
    <col min="13593" max="13823" width="9" style="10"/>
    <col min="13824" max="13824" width="5.25" style="10" customWidth="1"/>
    <col min="13825" max="13825" width="6.625" style="10" customWidth="1"/>
    <col min="13826" max="13826" width="22.625" style="10" customWidth="1"/>
    <col min="13827" max="13827" width="23.125" style="10" customWidth="1"/>
    <col min="13828" max="13828" width="16.625" style="10" customWidth="1"/>
    <col min="13829" max="13829" width="19.75" style="10" customWidth="1"/>
    <col min="13830" max="13830" width="20" style="10" customWidth="1"/>
    <col min="13831" max="13831" width="22.125" style="10" customWidth="1"/>
    <col min="13832" max="13832" width="22.875" style="10" customWidth="1"/>
    <col min="13833" max="13834" width="22.625" style="10" customWidth="1"/>
    <col min="13835" max="13835" width="20" style="10" customWidth="1"/>
    <col min="13836" max="13836" width="19.375" style="10" customWidth="1"/>
    <col min="13837" max="13837" width="19.75" style="10" customWidth="1"/>
    <col min="13838" max="13839" width="22.375" style="10" customWidth="1"/>
    <col min="13840" max="13840" width="23.125" style="10" customWidth="1"/>
    <col min="13841" max="13841" width="22.625" style="10" customWidth="1"/>
    <col min="13842" max="13842" width="19.5" style="10" customWidth="1"/>
    <col min="13843" max="13843" width="22.625" style="10" customWidth="1"/>
    <col min="13844" max="13844" width="22.375" style="10" customWidth="1"/>
    <col min="13845" max="13845" width="20.25" style="10" customWidth="1"/>
    <col min="13846" max="13847" width="19.75" style="10" customWidth="1"/>
    <col min="13848" max="13848" width="25.125" style="10" customWidth="1"/>
    <col min="13849" max="14079" width="9" style="10"/>
    <col min="14080" max="14080" width="5.25" style="10" customWidth="1"/>
    <col min="14081" max="14081" width="6.625" style="10" customWidth="1"/>
    <col min="14082" max="14082" width="22.625" style="10" customWidth="1"/>
    <col min="14083" max="14083" width="23.125" style="10" customWidth="1"/>
    <col min="14084" max="14084" width="16.625" style="10" customWidth="1"/>
    <col min="14085" max="14085" width="19.75" style="10" customWidth="1"/>
    <col min="14086" max="14086" width="20" style="10" customWidth="1"/>
    <col min="14087" max="14087" width="22.125" style="10" customWidth="1"/>
    <col min="14088" max="14088" width="22.875" style="10" customWidth="1"/>
    <col min="14089" max="14090" width="22.625" style="10" customWidth="1"/>
    <col min="14091" max="14091" width="20" style="10" customWidth="1"/>
    <col min="14092" max="14092" width="19.375" style="10" customWidth="1"/>
    <col min="14093" max="14093" width="19.75" style="10" customWidth="1"/>
    <col min="14094" max="14095" width="22.375" style="10" customWidth="1"/>
    <col min="14096" max="14096" width="23.125" style="10" customWidth="1"/>
    <col min="14097" max="14097" width="22.625" style="10" customWidth="1"/>
    <col min="14098" max="14098" width="19.5" style="10" customWidth="1"/>
    <col min="14099" max="14099" width="22.625" style="10" customWidth="1"/>
    <col min="14100" max="14100" width="22.375" style="10" customWidth="1"/>
    <col min="14101" max="14101" width="20.25" style="10" customWidth="1"/>
    <col min="14102" max="14103" width="19.75" style="10" customWidth="1"/>
    <col min="14104" max="14104" width="25.125" style="10" customWidth="1"/>
    <col min="14105" max="14335" width="9" style="10"/>
    <col min="14336" max="14336" width="5.25" style="10" customWidth="1"/>
    <col min="14337" max="14337" width="6.625" style="10" customWidth="1"/>
    <col min="14338" max="14338" width="22.625" style="10" customWidth="1"/>
    <col min="14339" max="14339" width="23.125" style="10" customWidth="1"/>
    <col min="14340" max="14340" width="16.625" style="10" customWidth="1"/>
    <col min="14341" max="14341" width="19.75" style="10" customWidth="1"/>
    <col min="14342" max="14342" width="20" style="10" customWidth="1"/>
    <col min="14343" max="14343" width="22.125" style="10" customWidth="1"/>
    <col min="14344" max="14344" width="22.875" style="10" customWidth="1"/>
    <col min="14345" max="14346" width="22.625" style="10" customWidth="1"/>
    <col min="14347" max="14347" width="20" style="10" customWidth="1"/>
    <col min="14348" max="14348" width="19.375" style="10" customWidth="1"/>
    <col min="14349" max="14349" width="19.75" style="10" customWidth="1"/>
    <col min="14350" max="14351" width="22.375" style="10" customWidth="1"/>
    <col min="14352" max="14352" width="23.125" style="10" customWidth="1"/>
    <col min="14353" max="14353" width="22.625" style="10" customWidth="1"/>
    <col min="14354" max="14354" width="19.5" style="10" customWidth="1"/>
    <col min="14355" max="14355" width="22.625" style="10" customWidth="1"/>
    <col min="14356" max="14356" width="22.375" style="10" customWidth="1"/>
    <col min="14357" max="14357" width="20.25" style="10" customWidth="1"/>
    <col min="14358" max="14359" width="19.75" style="10" customWidth="1"/>
    <col min="14360" max="14360" width="25.125" style="10" customWidth="1"/>
    <col min="14361" max="14591" width="9" style="10"/>
    <col min="14592" max="14592" width="5.25" style="10" customWidth="1"/>
    <col min="14593" max="14593" width="6.625" style="10" customWidth="1"/>
    <col min="14594" max="14594" width="22.625" style="10" customWidth="1"/>
    <col min="14595" max="14595" width="23.125" style="10" customWidth="1"/>
    <col min="14596" max="14596" width="16.625" style="10" customWidth="1"/>
    <col min="14597" max="14597" width="19.75" style="10" customWidth="1"/>
    <col min="14598" max="14598" width="20" style="10" customWidth="1"/>
    <col min="14599" max="14599" width="22.125" style="10" customWidth="1"/>
    <col min="14600" max="14600" width="22.875" style="10" customWidth="1"/>
    <col min="14601" max="14602" width="22.625" style="10" customWidth="1"/>
    <col min="14603" max="14603" width="20" style="10" customWidth="1"/>
    <col min="14604" max="14604" width="19.375" style="10" customWidth="1"/>
    <col min="14605" max="14605" width="19.75" style="10" customWidth="1"/>
    <col min="14606" max="14607" width="22.375" style="10" customWidth="1"/>
    <col min="14608" max="14608" width="23.125" style="10" customWidth="1"/>
    <col min="14609" max="14609" width="22.625" style="10" customWidth="1"/>
    <col min="14610" max="14610" width="19.5" style="10" customWidth="1"/>
    <col min="14611" max="14611" width="22.625" style="10" customWidth="1"/>
    <col min="14612" max="14612" width="22.375" style="10" customWidth="1"/>
    <col min="14613" max="14613" width="20.25" style="10" customWidth="1"/>
    <col min="14614" max="14615" width="19.75" style="10" customWidth="1"/>
    <col min="14616" max="14616" width="25.125" style="10" customWidth="1"/>
    <col min="14617" max="14847" width="9" style="10"/>
    <col min="14848" max="14848" width="5.25" style="10" customWidth="1"/>
    <col min="14849" max="14849" width="6.625" style="10" customWidth="1"/>
    <col min="14850" max="14850" width="22.625" style="10" customWidth="1"/>
    <col min="14851" max="14851" width="23.125" style="10" customWidth="1"/>
    <col min="14852" max="14852" width="16.625" style="10" customWidth="1"/>
    <col min="14853" max="14853" width="19.75" style="10" customWidth="1"/>
    <col min="14854" max="14854" width="20" style="10" customWidth="1"/>
    <col min="14855" max="14855" width="22.125" style="10" customWidth="1"/>
    <col min="14856" max="14856" width="22.875" style="10" customWidth="1"/>
    <col min="14857" max="14858" width="22.625" style="10" customWidth="1"/>
    <col min="14859" max="14859" width="20" style="10" customWidth="1"/>
    <col min="14860" max="14860" width="19.375" style="10" customWidth="1"/>
    <col min="14861" max="14861" width="19.75" style="10" customWidth="1"/>
    <col min="14862" max="14863" width="22.375" style="10" customWidth="1"/>
    <col min="14864" max="14864" width="23.125" style="10" customWidth="1"/>
    <col min="14865" max="14865" width="22.625" style="10" customWidth="1"/>
    <col min="14866" max="14866" width="19.5" style="10" customWidth="1"/>
    <col min="14867" max="14867" width="22.625" style="10" customWidth="1"/>
    <col min="14868" max="14868" width="22.375" style="10" customWidth="1"/>
    <col min="14869" max="14869" width="20.25" style="10" customWidth="1"/>
    <col min="14870" max="14871" width="19.75" style="10" customWidth="1"/>
    <col min="14872" max="14872" width="25.125" style="10" customWidth="1"/>
    <col min="14873" max="15103" width="9" style="10"/>
    <col min="15104" max="15104" width="5.25" style="10" customWidth="1"/>
    <col min="15105" max="15105" width="6.625" style="10" customWidth="1"/>
    <col min="15106" max="15106" width="22.625" style="10" customWidth="1"/>
    <col min="15107" max="15107" width="23.125" style="10" customWidth="1"/>
    <col min="15108" max="15108" width="16.625" style="10" customWidth="1"/>
    <col min="15109" max="15109" width="19.75" style="10" customWidth="1"/>
    <col min="15110" max="15110" width="20" style="10" customWidth="1"/>
    <col min="15111" max="15111" width="22.125" style="10" customWidth="1"/>
    <col min="15112" max="15112" width="22.875" style="10" customWidth="1"/>
    <col min="15113" max="15114" width="22.625" style="10" customWidth="1"/>
    <col min="15115" max="15115" width="20" style="10" customWidth="1"/>
    <col min="15116" max="15116" width="19.375" style="10" customWidth="1"/>
    <col min="15117" max="15117" width="19.75" style="10" customWidth="1"/>
    <col min="15118" max="15119" width="22.375" style="10" customWidth="1"/>
    <col min="15120" max="15120" width="23.125" style="10" customWidth="1"/>
    <col min="15121" max="15121" width="22.625" style="10" customWidth="1"/>
    <col min="15122" max="15122" width="19.5" style="10" customWidth="1"/>
    <col min="15123" max="15123" width="22.625" style="10" customWidth="1"/>
    <col min="15124" max="15124" width="22.375" style="10" customWidth="1"/>
    <col min="15125" max="15125" width="20.25" style="10" customWidth="1"/>
    <col min="15126" max="15127" width="19.75" style="10" customWidth="1"/>
    <col min="15128" max="15128" width="25.125" style="10" customWidth="1"/>
    <col min="15129" max="15359" width="9" style="10"/>
    <col min="15360" max="15360" width="5.25" style="10" customWidth="1"/>
    <col min="15361" max="15361" width="6.625" style="10" customWidth="1"/>
    <col min="15362" max="15362" width="22.625" style="10" customWidth="1"/>
    <col min="15363" max="15363" width="23.125" style="10" customWidth="1"/>
    <col min="15364" max="15364" width="16.625" style="10" customWidth="1"/>
    <col min="15365" max="15365" width="19.75" style="10" customWidth="1"/>
    <col min="15366" max="15366" width="20" style="10" customWidth="1"/>
    <col min="15367" max="15367" width="22.125" style="10" customWidth="1"/>
    <col min="15368" max="15368" width="22.875" style="10" customWidth="1"/>
    <col min="15369" max="15370" width="22.625" style="10" customWidth="1"/>
    <col min="15371" max="15371" width="20" style="10" customWidth="1"/>
    <col min="15372" max="15372" width="19.375" style="10" customWidth="1"/>
    <col min="15373" max="15373" width="19.75" style="10" customWidth="1"/>
    <col min="15374" max="15375" width="22.375" style="10" customWidth="1"/>
    <col min="15376" max="15376" width="23.125" style="10" customWidth="1"/>
    <col min="15377" max="15377" width="22.625" style="10" customWidth="1"/>
    <col min="15378" max="15378" width="19.5" style="10" customWidth="1"/>
    <col min="15379" max="15379" width="22.625" style="10" customWidth="1"/>
    <col min="15380" max="15380" width="22.375" style="10" customWidth="1"/>
    <col min="15381" max="15381" width="20.25" style="10" customWidth="1"/>
    <col min="15382" max="15383" width="19.75" style="10" customWidth="1"/>
    <col min="15384" max="15384" width="25.125" style="10" customWidth="1"/>
    <col min="15385" max="15615" width="9" style="10"/>
    <col min="15616" max="15616" width="5.25" style="10" customWidth="1"/>
    <col min="15617" max="15617" width="6.625" style="10" customWidth="1"/>
    <col min="15618" max="15618" width="22.625" style="10" customWidth="1"/>
    <col min="15619" max="15619" width="23.125" style="10" customWidth="1"/>
    <col min="15620" max="15620" width="16.625" style="10" customWidth="1"/>
    <col min="15621" max="15621" width="19.75" style="10" customWidth="1"/>
    <col min="15622" max="15622" width="20" style="10" customWidth="1"/>
    <col min="15623" max="15623" width="22.125" style="10" customWidth="1"/>
    <col min="15624" max="15624" width="22.875" style="10" customWidth="1"/>
    <col min="15625" max="15626" width="22.625" style="10" customWidth="1"/>
    <col min="15627" max="15627" width="20" style="10" customWidth="1"/>
    <col min="15628" max="15628" width="19.375" style="10" customWidth="1"/>
    <col min="15629" max="15629" width="19.75" style="10" customWidth="1"/>
    <col min="15630" max="15631" width="22.375" style="10" customWidth="1"/>
    <col min="15632" max="15632" width="23.125" style="10" customWidth="1"/>
    <col min="15633" max="15633" width="22.625" style="10" customWidth="1"/>
    <col min="15634" max="15634" width="19.5" style="10" customWidth="1"/>
    <col min="15635" max="15635" width="22.625" style="10" customWidth="1"/>
    <col min="15636" max="15636" width="22.375" style="10" customWidth="1"/>
    <col min="15637" max="15637" width="20.25" style="10" customWidth="1"/>
    <col min="15638" max="15639" width="19.75" style="10" customWidth="1"/>
    <col min="15640" max="15640" width="25.125" style="10" customWidth="1"/>
    <col min="15641" max="15871" width="9" style="10"/>
    <col min="15872" max="15872" width="5.25" style="10" customWidth="1"/>
    <col min="15873" max="15873" width="6.625" style="10" customWidth="1"/>
    <col min="15874" max="15874" width="22.625" style="10" customWidth="1"/>
    <col min="15875" max="15875" width="23.125" style="10" customWidth="1"/>
    <col min="15876" max="15876" width="16.625" style="10" customWidth="1"/>
    <col min="15877" max="15877" width="19.75" style="10" customWidth="1"/>
    <col min="15878" max="15878" width="20" style="10" customWidth="1"/>
    <col min="15879" max="15879" width="22.125" style="10" customWidth="1"/>
    <col min="15880" max="15880" width="22.875" style="10" customWidth="1"/>
    <col min="15881" max="15882" width="22.625" style="10" customWidth="1"/>
    <col min="15883" max="15883" width="20" style="10" customWidth="1"/>
    <col min="15884" max="15884" width="19.375" style="10" customWidth="1"/>
    <col min="15885" max="15885" width="19.75" style="10" customWidth="1"/>
    <col min="15886" max="15887" width="22.375" style="10" customWidth="1"/>
    <col min="15888" max="15888" width="23.125" style="10" customWidth="1"/>
    <col min="15889" max="15889" width="22.625" style="10" customWidth="1"/>
    <col min="15890" max="15890" width="19.5" style="10" customWidth="1"/>
    <col min="15891" max="15891" width="22.625" style="10" customWidth="1"/>
    <col min="15892" max="15892" width="22.375" style="10" customWidth="1"/>
    <col min="15893" max="15893" width="20.25" style="10" customWidth="1"/>
    <col min="15894" max="15895" width="19.75" style="10" customWidth="1"/>
    <col min="15896" max="15896" width="25.125" style="10" customWidth="1"/>
    <col min="15897" max="16127" width="9" style="10"/>
    <col min="16128" max="16128" width="5.25" style="10" customWidth="1"/>
    <col min="16129" max="16129" width="6.625" style="10" customWidth="1"/>
    <col min="16130" max="16130" width="22.625" style="10" customWidth="1"/>
    <col min="16131" max="16131" width="23.125" style="10" customWidth="1"/>
    <col min="16132" max="16132" width="16.625" style="10" customWidth="1"/>
    <col min="16133" max="16133" width="19.75" style="10" customWidth="1"/>
    <col min="16134" max="16134" width="20" style="10" customWidth="1"/>
    <col min="16135" max="16135" width="22.125" style="10" customWidth="1"/>
    <col min="16136" max="16136" width="22.875" style="10" customWidth="1"/>
    <col min="16137" max="16138" width="22.625" style="10" customWidth="1"/>
    <col min="16139" max="16139" width="20" style="10" customWidth="1"/>
    <col min="16140" max="16140" width="19.375" style="10" customWidth="1"/>
    <col min="16141" max="16141" width="19.75" style="10" customWidth="1"/>
    <col min="16142" max="16143" width="22.375" style="10" customWidth="1"/>
    <col min="16144" max="16144" width="23.125" style="10" customWidth="1"/>
    <col min="16145" max="16145" width="22.625" style="10" customWidth="1"/>
    <col min="16146" max="16146" width="19.5" style="10" customWidth="1"/>
    <col min="16147" max="16147" width="22.625" style="10" customWidth="1"/>
    <col min="16148" max="16148" width="22.375" style="10" customWidth="1"/>
    <col min="16149" max="16149" width="20.25" style="10" customWidth="1"/>
    <col min="16150" max="16151" width="19.75" style="10" customWidth="1"/>
    <col min="16152" max="16152" width="25.125" style="10" customWidth="1"/>
    <col min="16153" max="16384" width="9" style="10"/>
  </cols>
  <sheetData>
    <row r="1" spans="1:24" s="1" customFormat="1" ht="39.75" customHeight="1">
      <c r="A1" s="97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s="1" customFormat="1" ht="27.75" customHeight="1">
      <c r="A2" s="97" t="s">
        <v>29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s="1" customFormat="1" ht="11.2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/>
      <c r="W3" s="98"/>
      <c r="X3" s="98"/>
    </row>
    <row r="4" spans="1:24" s="2" customFormat="1" ht="27.75" customHeight="1">
      <c r="A4" s="97" t="s">
        <v>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s="1" customFormat="1">
      <c r="A5" s="101" t="s">
        <v>2</v>
      </c>
      <c r="B5" s="3" t="s">
        <v>3</v>
      </c>
      <c r="C5" s="3" t="s">
        <v>30</v>
      </c>
      <c r="D5" s="3" t="s">
        <v>31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23</v>
      </c>
      <c r="V5" s="3" t="s">
        <v>22</v>
      </c>
      <c r="W5" s="3" t="s">
        <v>24</v>
      </c>
      <c r="X5" s="3" t="s">
        <v>25</v>
      </c>
    </row>
    <row r="6" spans="1:24" ht="36.75" hidden="1" customHeight="1">
      <c r="A6" s="101"/>
      <c r="B6" s="4">
        <v>1</v>
      </c>
      <c r="C6" s="29" t="s">
        <v>31</v>
      </c>
      <c r="D6" s="5"/>
      <c r="E6" s="6">
        <v>81765</v>
      </c>
      <c r="F6" s="7">
        <v>177430</v>
      </c>
      <c r="G6" s="8">
        <v>152110</v>
      </c>
      <c r="H6" s="7">
        <v>237995</v>
      </c>
      <c r="I6" s="7">
        <v>421416</v>
      </c>
      <c r="J6" s="7">
        <v>22100</v>
      </c>
      <c r="K6" s="7">
        <v>67900</v>
      </c>
      <c r="L6" s="7">
        <v>87426</v>
      </c>
      <c r="M6" s="7">
        <v>2945</v>
      </c>
      <c r="N6" s="7">
        <v>189400</v>
      </c>
      <c r="O6" s="7">
        <v>103960</v>
      </c>
      <c r="P6" s="7">
        <v>139380</v>
      </c>
      <c r="Q6" s="9">
        <v>233650</v>
      </c>
      <c r="R6" s="7">
        <v>110130</v>
      </c>
      <c r="S6" s="7">
        <v>73880</v>
      </c>
      <c r="T6" s="6">
        <v>181045</v>
      </c>
      <c r="U6" s="7">
        <v>44739.85</v>
      </c>
      <c r="V6" s="7">
        <v>12075</v>
      </c>
      <c r="W6" s="7">
        <v>12500</v>
      </c>
      <c r="X6" s="7">
        <f t="shared" ref="X6" si="0">SUM(D6:W6)</f>
        <v>2351846.85</v>
      </c>
    </row>
    <row r="7" spans="1:24" ht="36.75" customHeight="1">
      <c r="A7" s="101"/>
      <c r="B7" s="11">
        <v>1</v>
      </c>
      <c r="C7" s="28" t="s">
        <v>6</v>
      </c>
      <c r="D7" s="13">
        <v>0</v>
      </c>
      <c r="E7" s="14"/>
      <c r="F7" s="13">
        <v>4610</v>
      </c>
      <c r="G7" s="13">
        <v>350</v>
      </c>
      <c r="H7" s="13">
        <v>1050</v>
      </c>
      <c r="I7" s="13">
        <v>1225</v>
      </c>
      <c r="J7" s="13">
        <v>525</v>
      </c>
      <c r="K7" s="13">
        <v>525</v>
      </c>
      <c r="L7" s="13">
        <v>175</v>
      </c>
      <c r="M7" s="13">
        <v>0</v>
      </c>
      <c r="N7" s="13">
        <v>971775</v>
      </c>
      <c r="O7" s="13">
        <v>6475</v>
      </c>
      <c r="P7" s="13">
        <v>6475</v>
      </c>
      <c r="Q7" s="15">
        <v>5250</v>
      </c>
      <c r="R7" s="13">
        <v>175</v>
      </c>
      <c r="S7" s="13">
        <v>875</v>
      </c>
      <c r="T7" s="13">
        <v>5250</v>
      </c>
      <c r="U7" s="13">
        <v>1575</v>
      </c>
      <c r="V7" s="13">
        <v>175</v>
      </c>
      <c r="W7" s="13">
        <v>0</v>
      </c>
      <c r="X7" s="13">
        <f t="shared" ref="X7:X24" si="1">SUM(E7:W7)</f>
        <v>1006485</v>
      </c>
    </row>
    <row r="8" spans="1:24" ht="36.75" customHeight="1">
      <c r="A8" s="101"/>
      <c r="B8" s="11">
        <v>2</v>
      </c>
      <c r="C8" s="12" t="s">
        <v>26</v>
      </c>
      <c r="D8" s="13">
        <v>0</v>
      </c>
      <c r="E8" s="13">
        <v>3325</v>
      </c>
      <c r="F8" s="14"/>
      <c r="G8" s="13">
        <v>1225</v>
      </c>
      <c r="H8" s="13">
        <v>0</v>
      </c>
      <c r="I8" s="15">
        <v>0</v>
      </c>
      <c r="J8" s="13">
        <v>0</v>
      </c>
      <c r="K8" s="13">
        <v>350</v>
      </c>
      <c r="L8" s="13">
        <v>350</v>
      </c>
      <c r="M8" s="13">
        <v>0</v>
      </c>
      <c r="N8" s="13">
        <v>0</v>
      </c>
      <c r="O8" s="13">
        <v>0</v>
      </c>
      <c r="P8" s="13">
        <v>1400</v>
      </c>
      <c r="Q8" s="15">
        <v>0</v>
      </c>
      <c r="R8" s="13">
        <v>700</v>
      </c>
      <c r="S8" s="13">
        <v>0</v>
      </c>
      <c r="T8" s="13">
        <v>0</v>
      </c>
      <c r="U8" s="15">
        <v>0</v>
      </c>
      <c r="V8" s="13">
        <v>0</v>
      </c>
      <c r="W8" s="13">
        <v>0</v>
      </c>
      <c r="X8" s="13">
        <f t="shared" si="1"/>
        <v>7350</v>
      </c>
    </row>
    <row r="9" spans="1:24" ht="36.75" customHeight="1">
      <c r="A9" s="101"/>
      <c r="B9" s="11">
        <v>3</v>
      </c>
      <c r="C9" s="12" t="s">
        <v>8</v>
      </c>
      <c r="D9" s="13">
        <v>0</v>
      </c>
      <c r="E9" s="13">
        <v>1050</v>
      </c>
      <c r="F9" s="13">
        <v>1050</v>
      </c>
      <c r="G9" s="14"/>
      <c r="H9" s="15">
        <v>3150</v>
      </c>
      <c r="I9" s="13">
        <v>456490</v>
      </c>
      <c r="J9" s="13">
        <v>0</v>
      </c>
      <c r="K9" s="13">
        <v>875</v>
      </c>
      <c r="L9" s="13">
        <v>0</v>
      </c>
      <c r="M9" s="13">
        <v>541105</v>
      </c>
      <c r="N9" s="13">
        <v>0</v>
      </c>
      <c r="O9" s="13">
        <v>1050</v>
      </c>
      <c r="P9" s="13">
        <v>43520</v>
      </c>
      <c r="Q9" s="15">
        <v>5075</v>
      </c>
      <c r="R9" s="13">
        <v>2275</v>
      </c>
      <c r="S9" s="13">
        <v>2450</v>
      </c>
      <c r="T9" s="13">
        <v>14410</v>
      </c>
      <c r="U9" s="13">
        <v>875</v>
      </c>
      <c r="V9" s="13">
        <v>0</v>
      </c>
      <c r="W9" s="13">
        <v>175</v>
      </c>
      <c r="X9" s="13">
        <f t="shared" si="1"/>
        <v>1073550</v>
      </c>
    </row>
    <row r="10" spans="1:24" ht="36.75" customHeight="1">
      <c r="A10" s="101"/>
      <c r="B10" s="11">
        <v>4</v>
      </c>
      <c r="C10" s="12" t="s">
        <v>9</v>
      </c>
      <c r="D10" s="13">
        <v>0</v>
      </c>
      <c r="E10" s="13">
        <v>175</v>
      </c>
      <c r="F10" s="15">
        <v>1225</v>
      </c>
      <c r="G10" s="13">
        <v>3150</v>
      </c>
      <c r="H10" s="14"/>
      <c r="I10" s="13">
        <v>5075</v>
      </c>
      <c r="J10" s="13">
        <v>1225</v>
      </c>
      <c r="K10" s="13">
        <v>2275</v>
      </c>
      <c r="L10" s="13">
        <v>875</v>
      </c>
      <c r="M10" s="13">
        <v>525</v>
      </c>
      <c r="N10" s="13">
        <v>0</v>
      </c>
      <c r="O10" s="15">
        <v>20505</v>
      </c>
      <c r="P10" s="13">
        <v>77440</v>
      </c>
      <c r="Q10" s="15">
        <v>484925</v>
      </c>
      <c r="R10" s="13">
        <v>1050</v>
      </c>
      <c r="S10" s="13">
        <v>18200</v>
      </c>
      <c r="T10" s="13">
        <v>11260</v>
      </c>
      <c r="U10" s="15">
        <v>1225</v>
      </c>
      <c r="V10" s="15">
        <v>700</v>
      </c>
      <c r="W10" s="13">
        <v>2480</v>
      </c>
      <c r="X10" s="13">
        <f t="shared" si="1"/>
        <v>632310</v>
      </c>
    </row>
    <row r="11" spans="1:24" ht="36.75" customHeight="1">
      <c r="A11" s="101"/>
      <c r="B11" s="11">
        <v>5</v>
      </c>
      <c r="C11" s="12" t="s">
        <v>10</v>
      </c>
      <c r="D11" s="13">
        <v>0</v>
      </c>
      <c r="E11" s="13">
        <v>1225</v>
      </c>
      <c r="F11" s="13">
        <v>1050</v>
      </c>
      <c r="G11" s="13">
        <v>26230</v>
      </c>
      <c r="H11" s="13">
        <v>5775</v>
      </c>
      <c r="I11" s="14"/>
      <c r="J11" s="13">
        <v>350</v>
      </c>
      <c r="K11" s="13">
        <v>1575</v>
      </c>
      <c r="L11" s="13">
        <v>3150</v>
      </c>
      <c r="M11" s="13">
        <v>4900</v>
      </c>
      <c r="N11" s="13">
        <v>0</v>
      </c>
      <c r="O11" s="13">
        <v>0</v>
      </c>
      <c r="P11" s="15">
        <v>127665</v>
      </c>
      <c r="Q11" s="15">
        <v>3325</v>
      </c>
      <c r="R11" s="15">
        <v>36750</v>
      </c>
      <c r="S11" s="13">
        <v>1225</v>
      </c>
      <c r="T11" s="13">
        <v>161975</v>
      </c>
      <c r="U11" s="13">
        <v>6125</v>
      </c>
      <c r="V11" s="13">
        <v>0</v>
      </c>
      <c r="W11" s="13">
        <v>0</v>
      </c>
      <c r="X11" s="13">
        <f t="shared" si="1"/>
        <v>381320</v>
      </c>
    </row>
    <row r="12" spans="1:24" ht="36.75" customHeight="1">
      <c r="A12" s="101"/>
      <c r="B12" s="11">
        <v>6</v>
      </c>
      <c r="C12" s="12" t="s">
        <v>11</v>
      </c>
      <c r="D12" s="13">
        <v>0</v>
      </c>
      <c r="E12" s="13">
        <v>175</v>
      </c>
      <c r="F12" s="15">
        <v>1400</v>
      </c>
      <c r="G12" s="13">
        <v>175</v>
      </c>
      <c r="H12" s="13">
        <v>525</v>
      </c>
      <c r="I12" s="13">
        <v>350</v>
      </c>
      <c r="J12" s="14"/>
      <c r="K12" s="13">
        <v>0</v>
      </c>
      <c r="L12" s="13">
        <v>0</v>
      </c>
      <c r="M12" s="13">
        <v>0</v>
      </c>
      <c r="N12" s="13">
        <v>14700</v>
      </c>
      <c r="O12" s="13">
        <v>487995</v>
      </c>
      <c r="P12" s="13">
        <v>6125</v>
      </c>
      <c r="Q12" s="15">
        <v>1925</v>
      </c>
      <c r="R12" s="13">
        <v>175</v>
      </c>
      <c r="S12" s="13">
        <v>1225</v>
      </c>
      <c r="T12" s="13">
        <v>2975</v>
      </c>
      <c r="U12" s="13">
        <v>175</v>
      </c>
      <c r="V12" s="13">
        <v>5425</v>
      </c>
      <c r="W12" s="13">
        <v>0</v>
      </c>
      <c r="X12" s="13">
        <f t="shared" si="1"/>
        <v>523345</v>
      </c>
    </row>
    <row r="13" spans="1:24" ht="36.75" customHeight="1">
      <c r="A13" s="101"/>
      <c r="B13" s="11">
        <v>7</v>
      </c>
      <c r="C13" s="12" t="s">
        <v>12</v>
      </c>
      <c r="D13" s="13">
        <v>0</v>
      </c>
      <c r="E13" s="13">
        <v>0</v>
      </c>
      <c r="F13" s="13">
        <v>2275</v>
      </c>
      <c r="G13" s="13">
        <v>1925</v>
      </c>
      <c r="H13" s="13">
        <v>1925</v>
      </c>
      <c r="I13" s="13">
        <v>2450</v>
      </c>
      <c r="J13" s="13">
        <v>0</v>
      </c>
      <c r="K13" s="14"/>
      <c r="L13" s="13">
        <v>350</v>
      </c>
      <c r="M13" s="13">
        <v>0</v>
      </c>
      <c r="N13" s="13">
        <v>0</v>
      </c>
      <c r="O13" s="13">
        <v>700</v>
      </c>
      <c r="P13" s="13">
        <v>4580</v>
      </c>
      <c r="Q13" s="15">
        <v>875</v>
      </c>
      <c r="R13" s="13">
        <v>350</v>
      </c>
      <c r="S13" s="13">
        <v>0</v>
      </c>
      <c r="T13" s="13">
        <v>1285</v>
      </c>
      <c r="U13" s="13">
        <v>1575</v>
      </c>
      <c r="V13" s="13">
        <v>0</v>
      </c>
      <c r="W13" s="13">
        <v>700</v>
      </c>
      <c r="X13" s="13">
        <f t="shared" si="1"/>
        <v>18990</v>
      </c>
    </row>
    <row r="14" spans="1:24" ht="36.75" customHeight="1">
      <c r="A14" s="101"/>
      <c r="B14" s="11">
        <v>8</v>
      </c>
      <c r="C14" s="12" t="s">
        <v>13</v>
      </c>
      <c r="D14" s="13">
        <v>0</v>
      </c>
      <c r="E14" s="13">
        <v>175</v>
      </c>
      <c r="F14" s="13">
        <v>6300</v>
      </c>
      <c r="G14" s="13">
        <v>525</v>
      </c>
      <c r="H14" s="13">
        <v>1400</v>
      </c>
      <c r="I14" s="13">
        <v>2975</v>
      </c>
      <c r="J14" s="13">
        <v>175</v>
      </c>
      <c r="K14" s="13">
        <v>2275</v>
      </c>
      <c r="L14" s="14"/>
      <c r="M14" s="13">
        <v>0</v>
      </c>
      <c r="N14" s="13">
        <v>0</v>
      </c>
      <c r="O14" s="13">
        <v>1925</v>
      </c>
      <c r="P14" s="13">
        <v>6650</v>
      </c>
      <c r="Q14" s="15">
        <v>1750</v>
      </c>
      <c r="R14" s="13">
        <v>175</v>
      </c>
      <c r="S14" s="13">
        <v>1750</v>
      </c>
      <c r="T14" s="13">
        <v>1955</v>
      </c>
      <c r="U14" s="13">
        <v>700</v>
      </c>
      <c r="V14" s="13">
        <v>175</v>
      </c>
      <c r="W14" s="13">
        <v>350</v>
      </c>
      <c r="X14" s="13">
        <f t="shared" si="1"/>
        <v>29255</v>
      </c>
    </row>
    <row r="15" spans="1:24" ht="36.75" customHeight="1">
      <c r="A15" s="101"/>
      <c r="B15" s="11">
        <v>9</v>
      </c>
      <c r="C15" s="12" t="s">
        <v>14</v>
      </c>
      <c r="D15" s="16"/>
      <c r="E15" s="16">
        <v>0</v>
      </c>
      <c r="F15" s="16">
        <v>350</v>
      </c>
      <c r="G15" s="16">
        <f>25610-3355</f>
        <v>22255</v>
      </c>
      <c r="H15" s="16">
        <v>0</v>
      </c>
      <c r="I15" s="16">
        <v>360675</v>
      </c>
      <c r="J15" s="16">
        <v>1050</v>
      </c>
      <c r="K15" s="16">
        <v>700</v>
      </c>
      <c r="L15" s="16">
        <v>0</v>
      </c>
      <c r="M15" s="14"/>
      <c r="N15" s="16">
        <v>0</v>
      </c>
      <c r="O15" s="16">
        <v>700</v>
      </c>
      <c r="P15" s="16">
        <v>7730</v>
      </c>
      <c r="Q15" s="17">
        <v>875</v>
      </c>
      <c r="R15" s="16">
        <v>175</v>
      </c>
      <c r="S15" s="16">
        <v>0</v>
      </c>
      <c r="T15" s="16">
        <f>4930</f>
        <v>4930</v>
      </c>
      <c r="U15" s="16">
        <v>1750</v>
      </c>
      <c r="V15" s="18">
        <v>0</v>
      </c>
      <c r="W15" s="18">
        <v>175</v>
      </c>
      <c r="X15" s="13">
        <f>SUM(E15:W15)</f>
        <v>401365</v>
      </c>
    </row>
    <row r="16" spans="1:24" ht="43.5" customHeight="1">
      <c r="A16" s="101"/>
      <c r="B16" s="11">
        <v>10</v>
      </c>
      <c r="C16" s="12" t="s">
        <v>15</v>
      </c>
      <c r="D16" s="13">
        <v>0</v>
      </c>
      <c r="E16" s="13">
        <v>45675</v>
      </c>
      <c r="F16" s="13">
        <v>40841</v>
      </c>
      <c r="G16" s="13">
        <v>3150</v>
      </c>
      <c r="H16" s="15">
        <v>4550</v>
      </c>
      <c r="I16" s="13">
        <v>0</v>
      </c>
      <c r="J16" s="13">
        <v>700</v>
      </c>
      <c r="K16" s="13">
        <v>2450</v>
      </c>
      <c r="L16" s="13">
        <v>175</v>
      </c>
      <c r="M16" s="13">
        <v>700</v>
      </c>
      <c r="N16" s="14"/>
      <c r="O16" s="13">
        <v>0</v>
      </c>
      <c r="P16" s="13">
        <v>15750</v>
      </c>
      <c r="Q16" s="15">
        <v>7410</v>
      </c>
      <c r="R16" s="13">
        <v>700</v>
      </c>
      <c r="S16" s="13">
        <v>1750</v>
      </c>
      <c r="T16" s="13">
        <v>5950</v>
      </c>
      <c r="U16" s="13">
        <v>175</v>
      </c>
      <c r="V16" s="13">
        <v>1400</v>
      </c>
      <c r="W16" s="13">
        <v>350</v>
      </c>
      <c r="X16" s="13">
        <f t="shared" si="1"/>
        <v>131726</v>
      </c>
    </row>
    <row r="17" spans="1:25" ht="43.5" customHeight="1">
      <c r="A17" s="101"/>
      <c r="B17" s="11">
        <v>11</v>
      </c>
      <c r="C17" s="12" t="s">
        <v>16</v>
      </c>
      <c r="D17" s="13">
        <v>0</v>
      </c>
      <c r="E17" s="13">
        <v>3800</v>
      </c>
      <c r="F17" s="13">
        <v>2800</v>
      </c>
      <c r="G17" s="13">
        <v>1985</v>
      </c>
      <c r="H17" s="13">
        <v>91700</v>
      </c>
      <c r="I17" s="13">
        <v>3325</v>
      </c>
      <c r="J17" s="13">
        <v>18025</v>
      </c>
      <c r="K17" s="13">
        <v>1575</v>
      </c>
      <c r="L17" s="13">
        <v>1925</v>
      </c>
      <c r="M17" s="13">
        <v>525</v>
      </c>
      <c r="N17" s="13"/>
      <c r="O17" s="14"/>
      <c r="P17" s="13">
        <v>15955</v>
      </c>
      <c r="Q17" s="15">
        <v>130725</v>
      </c>
      <c r="R17" s="13">
        <v>525</v>
      </c>
      <c r="S17" s="13">
        <v>16975</v>
      </c>
      <c r="T17" s="13">
        <v>9510</v>
      </c>
      <c r="U17" s="13">
        <v>1750</v>
      </c>
      <c r="V17" s="13">
        <v>30800</v>
      </c>
      <c r="W17" s="13">
        <v>700</v>
      </c>
      <c r="X17" s="13">
        <f t="shared" si="1"/>
        <v>332600</v>
      </c>
    </row>
    <row r="18" spans="1:25" ht="43.5" customHeight="1">
      <c r="A18" s="101"/>
      <c r="B18" s="11">
        <v>12</v>
      </c>
      <c r="C18" s="12" t="s">
        <v>17</v>
      </c>
      <c r="D18" s="13">
        <v>0</v>
      </c>
      <c r="E18" s="13">
        <v>1050</v>
      </c>
      <c r="F18" s="45">
        <v>4550</v>
      </c>
      <c r="G18" s="45">
        <v>100155</v>
      </c>
      <c r="H18" s="45">
        <v>232917</v>
      </c>
      <c r="I18" s="13">
        <v>79100</v>
      </c>
      <c r="J18" s="13">
        <v>1400</v>
      </c>
      <c r="K18" s="13">
        <v>2830</v>
      </c>
      <c r="L18" s="45">
        <v>2800</v>
      </c>
      <c r="M18" s="13">
        <v>2975</v>
      </c>
      <c r="N18" s="13">
        <v>0</v>
      </c>
      <c r="O18" s="13">
        <v>6855</v>
      </c>
      <c r="P18" s="14"/>
      <c r="Q18" s="15">
        <v>6475</v>
      </c>
      <c r="R18" s="13">
        <v>7875</v>
      </c>
      <c r="S18" s="13">
        <v>7875</v>
      </c>
      <c r="T18" s="15">
        <v>865915</v>
      </c>
      <c r="U18" s="13">
        <v>5660</v>
      </c>
      <c r="V18" s="13">
        <v>1575</v>
      </c>
      <c r="W18" s="13">
        <v>5775</v>
      </c>
      <c r="X18" s="13">
        <f t="shared" si="1"/>
        <v>1335782</v>
      </c>
    </row>
    <row r="19" spans="1:25" s="20" customFormat="1" ht="43.5" customHeight="1">
      <c r="A19" s="101"/>
      <c r="B19" s="11">
        <v>13</v>
      </c>
      <c r="C19" s="19" t="s">
        <v>18</v>
      </c>
      <c r="D19" s="13">
        <v>0</v>
      </c>
      <c r="E19" s="15">
        <v>350</v>
      </c>
      <c r="F19" s="15">
        <v>2625</v>
      </c>
      <c r="G19" s="15">
        <v>3500</v>
      </c>
      <c r="H19" s="15">
        <v>11025</v>
      </c>
      <c r="I19" s="15">
        <v>0</v>
      </c>
      <c r="J19" s="15">
        <v>700</v>
      </c>
      <c r="K19" s="15">
        <v>525</v>
      </c>
      <c r="L19" s="15">
        <v>700</v>
      </c>
      <c r="M19" s="15">
        <v>0</v>
      </c>
      <c r="N19" s="15">
        <v>0</v>
      </c>
      <c r="O19" s="15">
        <v>22255</v>
      </c>
      <c r="P19" s="15">
        <v>7700</v>
      </c>
      <c r="Q19" s="14"/>
      <c r="R19" s="15">
        <v>350</v>
      </c>
      <c r="S19" s="15">
        <v>875</v>
      </c>
      <c r="T19" s="15">
        <v>1080</v>
      </c>
      <c r="U19" s="15">
        <v>0</v>
      </c>
      <c r="V19" s="15">
        <v>700</v>
      </c>
      <c r="W19" s="15">
        <v>175</v>
      </c>
      <c r="X19" s="15">
        <f t="shared" si="1"/>
        <v>52560</v>
      </c>
    </row>
    <row r="20" spans="1:25" ht="43.5" customHeight="1">
      <c r="A20" s="101"/>
      <c r="B20" s="11">
        <v>14</v>
      </c>
      <c r="C20" s="12" t="s">
        <v>19</v>
      </c>
      <c r="D20" s="13">
        <v>0</v>
      </c>
      <c r="E20" s="13">
        <v>0</v>
      </c>
      <c r="F20" s="13">
        <v>1575</v>
      </c>
      <c r="G20" s="13">
        <v>3150</v>
      </c>
      <c r="H20" s="13">
        <v>2450</v>
      </c>
      <c r="I20" s="13">
        <v>226100</v>
      </c>
      <c r="J20" s="13">
        <v>525</v>
      </c>
      <c r="K20" s="13">
        <v>2100</v>
      </c>
      <c r="L20" s="13">
        <v>2100</v>
      </c>
      <c r="M20" s="13">
        <v>2800</v>
      </c>
      <c r="N20" s="13">
        <v>0</v>
      </c>
      <c r="O20" s="13">
        <v>1255</v>
      </c>
      <c r="P20" s="13">
        <v>6650</v>
      </c>
      <c r="Q20" s="15">
        <v>380</v>
      </c>
      <c r="R20" s="14"/>
      <c r="S20" s="13">
        <v>1255</v>
      </c>
      <c r="T20" s="13">
        <v>52095</v>
      </c>
      <c r="U20" s="15">
        <v>12075</v>
      </c>
      <c r="V20" s="15">
        <v>525</v>
      </c>
      <c r="W20" s="15">
        <v>175</v>
      </c>
      <c r="X20" s="15">
        <f t="shared" si="1"/>
        <v>315210</v>
      </c>
      <c r="Y20" s="20"/>
    </row>
    <row r="21" spans="1:25" ht="43.5" customHeight="1">
      <c r="A21" s="101"/>
      <c r="B21" s="11">
        <v>15</v>
      </c>
      <c r="C21" s="12" t="s">
        <v>20</v>
      </c>
      <c r="D21" s="13">
        <v>0</v>
      </c>
      <c r="E21" s="13">
        <v>875</v>
      </c>
      <c r="F21" s="13">
        <v>2100</v>
      </c>
      <c r="G21" s="13">
        <v>350</v>
      </c>
      <c r="H21" s="13">
        <v>31850</v>
      </c>
      <c r="I21" s="13">
        <v>2625</v>
      </c>
      <c r="J21" s="13">
        <v>4025</v>
      </c>
      <c r="K21" s="13">
        <v>1225</v>
      </c>
      <c r="L21" s="13">
        <v>525</v>
      </c>
      <c r="M21" s="13">
        <v>525</v>
      </c>
      <c r="N21" s="13">
        <v>0</v>
      </c>
      <c r="O21" s="13">
        <v>91000</v>
      </c>
      <c r="P21" s="13">
        <v>11960</v>
      </c>
      <c r="Q21" s="15">
        <v>3675</v>
      </c>
      <c r="R21" s="13">
        <v>175</v>
      </c>
      <c r="S21" s="14"/>
      <c r="T21" s="13">
        <v>4550</v>
      </c>
      <c r="U21" s="15">
        <v>1780</v>
      </c>
      <c r="V21" s="15">
        <v>26047</v>
      </c>
      <c r="W21" s="15">
        <v>0</v>
      </c>
      <c r="X21" s="15">
        <f t="shared" si="1"/>
        <v>183287</v>
      </c>
      <c r="Y21" s="20"/>
    </row>
    <row r="22" spans="1:25" ht="43.5" customHeight="1">
      <c r="A22" s="101"/>
      <c r="B22" s="11">
        <v>16</v>
      </c>
      <c r="C22" s="12" t="s">
        <v>21</v>
      </c>
      <c r="D22" s="13">
        <v>0</v>
      </c>
      <c r="E22" s="13">
        <v>2625</v>
      </c>
      <c r="F22" s="13">
        <v>7700</v>
      </c>
      <c r="G22" s="13">
        <v>6335</v>
      </c>
      <c r="H22" s="13">
        <v>51625</v>
      </c>
      <c r="I22" s="13">
        <v>18200</v>
      </c>
      <c r="J22" s="13">
        <v>1925</v>
      </c>
      <c r="K22" s="13">
        <v>3675</v>
      </c>
      <c r="L22" s="13">
        <v>3675</v>
      </c>
      <c r="M22" s="13">
        <v>700</v>
      </c>
      <c r="N22" s="13">
        <v>0</v>
      </c>
      <c r="O22" s="13">
        <v>2305</v>
      </c>
      <c r="P22" s="13">
        <v>93250</v>
      </c>
      <c r="Q22" s="15">
        <v>1925</v>
      </c>
      <c r="R22" s="13">
        <v>4200</v>
      </c>
      <c r="S22" s="13">
        <v>875</v>
      </c>
      <c r="T22" s="14"/>
      <c r="U22" s="15">
        <v>5425</v>
      </c>
      <c r="V22" s="15">
        <v>175</v>
      </c>
      <c r="W22" s="15">
        <v>35875</v>
      </c>
      <c r="X22" s="15">
        <f t="shared" si="1"/>
        <v>240490</v>
      </c>
      <c r="Y22" s="20"/>
    </row>
    <row r="23" spans="1:25" ht="43.5" customHeight="1">
      <c r="A23" s="101"/>
      <c r="B23" s="11">
        <v>17</v>
      </c>
      <c r="C23" s="12" t="s">
        <v>23</v>
      </c>
      <c r="D23" s="13">
        <v>0</v>
      </c>
      <c r="E23" s="13">
        <v>525</v>
      </c>
      <c r="F23" s="13">
        <v>8280</v>
      </c>
      <c r="G23" s="13">
        <v>2450</v>
      </c>
      <c r="H23" s="13">
        <v>0</v>
      </c>
      <c r="I23" s="13">
        <v>0</v>
      </c>
      <c r="J23" s="13">
        <v>0</v>
      </c>
      <c r="K23" s="13">
        <v>2305</v>
      </c>
      <c r="L23" s="13">
        <v>700</v>
      </c>
      <c r="M23" s="13">
        <v>0</v>
      </c>
      <c r="N23" s="13"/>
      <c r="O23" s="13">
        <v>1400</v>
      </c>
      <c r="P23" s="13">
        <v>175</v>
      </c>
      <c r="Q23" s="15">
        <v>2275</v>
      </c>
      <c r="R23" s="15">
        <v>2975</v>
      </c>
      <c r="S23" s="15">
        <v>0</v>
      </c>
      <c r="T23" s="15">
        <v>537227</v>
      </c>
      <c r="U23" s="14"/>
      <c r="V23" s="13">
        <v>0</v>
      </c>
      <c r="W23" s="13">
        <v>175</v>
      </c>
      <c r="X23" s="13">
        <f t="shared" si="1"/>
        <v>558487</v>
      </c>
    </row>
    <row r="24" spans="1:25" ht="43.5" customHeight="1">
      <c r="A24" s="101"/>
      <c r="B24" s="11">
        <v>18</v>
      </c>
      <c r="C24" s="12" t="s">
        <v>22</v>
      </c>
      <c r="D24" s="13">
        <v>0</v>
      </c>
      <c r="E24" s="13">
        <v>525</v>
      </c>
      <c r="F24" s="13">
        <v>875</v>
      </c>
      <c r="G24" s="13">
        <v>1050</v>
      </c>
      <c r="H24" s="13">
        <v>0</v>
      </c>
      <c r="I24" s="13">
        <v>0</v>
      </c>
      <c r="J24" s="13">
        <v>84000</v>
      </c>
      <c r="K24" s="13">
        <v>0</v>
      </c>
      <c r="L24" s="13">
        <v>0</v>
      </c>
      <c r="M24" s="13">
        <v>0</v>
      </c>
      <c r="N24" s="13">
        <v>0</v>
      </c>
      <c r="O24" s="13">
        <v>59150</v>
      </c>
      <c r="P24" s="13">
        <v>0</v>
      </c>
      <c r="Q24" s="15">
        <v>2625</v>
      </c>
      <c r="R24" s="15">
        <v>0</v>
      </c>
      <c r="S24" s="15">
        <v>221905</v>
      </c>
      <c r="T24" s="15">
        <v>700</v>
      </c>
      <c r="U24" s="13">
        <v>0</v>
      </c>
      <c r="V24" s="14">
        <v>0</v>
      </c>
      <c r="W24" s="13">
        <v>0</v>
      </c>
      <c r="X24" s="13">
        <f t="shared" si="1"/>
        <v>370830</v>
      </c>
    </row>
    <row r="25" spans="1:25" ht="43.5" customHeight="1">
      <c r="A25" s="101"/>
      <c r="B25" s="21">
        <v>19</v>
      </c>
      <c r="C25" s="22" t="s">
        <v>24</v>
      </c>
      <c r="D25" s="23">
        <v>0</v>
      </c>
      <c r="E25" s="23">
        <v>700</v>
      </c>
      <c r="F25" s="23">
        <v>875</v>
      </c>
      <c r="G25" s="23">
        <v>700</v>
      </c>
      <c r="H25" s="23">
        <v>0</v>
      </c>
      <c r="I25" s="23">
        <v>0</v>
      </c>
      <c r="J25" s="23">
        <v>175</v>
      </c>
      <c r="K25" s="23">
        <v>700</v>
      </c>
      <c r="L25" s="23">
        <v>0</v>
      </c>
      <c r="M25" s="23">
        <v>0</v>
      </c>
      <c r="N25" s="23">
        <v>0</v>
      </c>
      <c r="O25" s="23">
        <v>0</v>
      </c>
      <c r="P25" s="23">
        <v>559835</v>
      </c>
      <c r="Q25" s="24">
        <v>525</v>
      </c>
      <c r="R25" s="24">
        <v>350</v>
      </c>
      <c r="S25" s="24">
        <v>0</v>
      </c>
      <c r="T25" s="24">
        <v>54520</v>
      </c>
      <c r="U25" s="23">
        <v>175</v>
      </c>
      <c r="V25" s="23">
        <v>175</v>
      </c>
      <c r="W25" s="14"/>
      <c r="X25" s="24">
        <f>SUM(E25:W25)</f>
        <v>618730</v>
      </c>
    </row>
    <row r="26" spans="1:25" ht="36" customHeight="1">
      <c r="A26" s="101"/>
      <c r="B26" s="79" t="s">
        <v>25</v>
      </c>
      <c r="C26" s="80"/>
      <c r="D26" s="25">
        <f>SUM(D6:D25)</f>
        <v>0</v>
      </c>
      <c r="E26" s="23">
        <f t="shared" ref="E26:W26" si="2">SUM(E6:E25)</f>
        <v>144015</v>
      </c>
      <c r="F26" s="23">
        <f t="shared" si="2"/>
        <v>267911</v>
      </c>
      <c r="G26" s="23">
        <f>SUM(G6:G25)</f>
        <v>330770</v>
      </c>
      <c r="H26" s="23">
        <f t="shared" si="2"/>
        <v>677937</v>
      </c>
      <c r="I26" s="23">
        <f t="shared" si="2"/>
        <v>1580006</v>
      </c>
      <c r="J26" s="23">
        <f t="shared" si="2"/>
        <v>136900</v>
      </c>
      <c r="K26" s="23">
        <f t="shared" si="2"/>
        <v>93860</v>
      </c>
      <c r="L26" s="23">
        <f t="shared" si="2"/>
        <v>104926</v>
      </c>
      <c r="M26" s="23">
        <f t="shared" si="2"/>
        <v>557700</v>
      </c>
      <c r="N26" s="23">
        <f t="shared" si="2"/>
        <v>1175875</v>
      </c>
      <c r="O26" s="23">
        <f t="shared" si="2"/>
        <v>807530</v>
      </c>
      <c r="P26" s="23">
        <f t="shared" si="2"/>
        <v>1132240</v>
      </c>
      <c r="Q26" s="24">
        <f t="shared" si="2"/>
        <v>893665</v>
      </c>
      <c r="R26" s="23">
        <f t="shared" si="2"/>
        <v>169105</v>
      </c>
      <c r="S26" s="23">
        <f t="shared" si="2"/>
        <v>351115</v>
      </c>
      <c r="T26" s="24">
        <f t="shared" si="2"/>
        <v>1916632</v>
      </c>
      <c r="U26" s="23">
        <f t="shared" si="2"/>
        <v>85779.85</v>
      </c>
      <c r="V26" s="23">
        <f t="shared" si="2"/>
        <v>79947</v>
      </c>
      <c r="W26" s="24">
        <f t="shared" si="2"/>
        <v>59605</v>
      </c>
      <c r="X26" s="26">
        <f>SUM(E26:W26)</f>
        <v>10565518.85</v>
      </c>
    </row>
    <row r="27" spans="1:25" ht="14.25" customHeight="1"/>
    <row r="28" spans="1:25" ht="34.5" customHeight="1">
      <c r="A28" s="102" t="s">
        <v>70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</row>
    <row r="29" spans="1:25" s="74" customFormat="1" ht="27.75" customHeight="1">
      <c r="A29" s="97" t="s">
        <v>29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</row>
    <row r="30" spans="1:25" ht="16.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</row>
    <row r="31" spans="1:25" s="2" customFormat="1" ht="27.75" customHeight="1">
      <c r="A31" s="97" t="s">
        <v>0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</row>
    <row r="32" spans="1:25" s="74" customFormat="1">
      <c r="A32" s="101" t="s">
        <v>2</v>
      </c>
      <c r="B32" s="3" t="s">
        <v>3</v>
      </c>
      <c r="C32" s="3" t="s">
        <v>30</v>
      </c>
      <c r="D32" s="3" t="s">
        <v>31</v>
      </c>
      <c r="E32" s="3" t="s">
        <v>6</v>
      </c>
      <c r="F32" s="3" t="s">
        <v>7</v>
      </c>
      <c r="G32" s="3" t="s">
        <v>8</v>
      </c>
      <c r="H32" s="3" t="s">
        <v>9</v>
      </c>
      <c r="I32" s="3" t="s">
        <v>10</v>
      </c>
      <c r="J32" s="3" t="s">
        <v>11</v>
      </c>
      <c r="K32" s="3" t="s">
        <v>12</v>
      </c>
      <c r="L32" s="3" t="s">
        <v>13</v>
      </c>
      <c r="M32" s="3" t="s">
        <v>14</v>
      </c>
      <c r="N32" s="3" t="s">
        <v>15</v>
      </c>
      <c r="O32" s="3" t="s">
        <v>16</v>
      </c>
      <c r="P32" s="3" t="s">
        <v>17</v>
      </c>
      <c r="Q32" s="3" t="s">
        <v>18</v>
      </c>
      <c r="R32" s="3" t="s">
        <v>19</v>
      </c>
      <c r="S32" s="3" t="s">
        <v>20</v>
      </c>
      <c r="T32" s="3" t="s">
        <v>21</v>
      </c>
      <c r="U32" s="3" t="s">
        <v>23</v>
      </c>
      <c r="V32" s="3" t="s">
        <v>22</v>
      </c>
      <c r="W32" s="3" t="s">
        <v>24</v>
      </c>
      <c r="X32" s="3" t="s">
        <v>25</v>
      </c>
    </row>
    <row r="33" spans="1:25" ht="36.75" customHeight="1">
      <c r="A33" s="101"/>
      <c r="B33" s="11">
        <v>1</v>
      </c>
      <c r="C33" s="28" t="s">
        <v>6</v>
      </c>
      <c r="D33" s="13">
        <v>0</v>
      </c>
      <c r="E33" s="14"/>
      <c r="F33" s="15">
        <f>4610-3325</f>
        <v>1285</v>
      </c>
      <c r="G33" s="15">
        <v>0</v>
      </c>
      <c r="H33" s="15">
        <f>1050-175</f>
        <v>875</v>
      </c>
      <c r="I33" s="15">
        <v>0</v>
      </c>
      <c r="J33" s="15">
        <f>525-175</f>
        <v>350</v>
      </c>
      <c r="K33" s="15">
        <v>525</v>
      </c>
      <c r="L33" s="15">
        <v>0</v>
      </c>
      <c r="M33" s="15">
        <v>0</v>
      </c>
      <c r="N33" s="15">
        <f>971775-45675</f>
        <v>926100</v>
      </c>
      <c r="O33" s="15">
        <f>6475-3800</f>
        <v>2675</v>
      </c>
      <c r="P33" s="15">
        <f>6475-1050</f>
        <v>5425</v>
      </c>
      <c r="Q33" s="15">
        <f>5250-350</f>
        <v>4900</v>
      </c>
      <c r="R33" s="15">
        <v>175</v>
      </c>
      <c r="S33" s="15">
        <v>0</v>
      </c>
      <c r="T33" s="15">
        <f>5250-2625</f>
        <v>2625</v>
      </c>
      <c r="U33" s="15">
        <f>1575-525</f>
        <v>1050</v>
      </c>
      <c r="V33" s="15">
        <v>0</v>
      </c>
      <c r="W33" s="15">
        <v>0</v>
      </c>
      <c r="X33" s="13">
        <f>SUM(E33:W33)</f>
        <v>945985</v>
      </c>
    </row>
    <row r="34" spans="1:25" ht="36.75" customHeight="1">
      <c r="A34" s="101"/>
      <c r="B34" s="11">
        <v>2</v>
      </c>
      <c r="C34" s="12" t="s">
        <v>26</v>
      </c>
      <c r="D34" s="13">
        <v>0</v>
      </c>
      <c r="E34" s="15">
        <v>0</v>
      </c>
      <c r="F34" s="14"/>
      <c r="G34" s="15">
        <f>1225-1050</f>
        <v>175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3">
        <f>SUM(E34:W34)</f>
        <v>175</v>
      </c>
    </row>
    <row r="35" spans="1:25" ht="36.75" customHeight="1">
      <c r="A35" s="101"/>
      <c r="B35" s="11">
        <v>3</v>
      </c>
      <c r="C35" s="12" t="s">
        <v>8</v>
      </c>
      <c r="D35" s="13">
        <v>0</v>
      </c>
      <c r="E35" s="15">
        <f>1050-350</f>
        <v>700</v>
      </c>
      <c r="F35" s="15">
        <v>0</v>
      </c>
      <c r="G35" s="14"/>
      <c r="H35" s="15">
        <v>0</v>
      </c>
      <c r="I35" s="15">
        <f>456490-26230</f>
        <v>430260</v>
      </c>
      <c r="J35" s="15">
        <v>0</v>
      </c>
      <c r="K35" s="15">
        <v>0</v>
      </c>
      <c r="L35" s="15">
        <v>0</v>
      </c>
      <c r="M35" s="15">
        <f>541105-22255</f>
        <v>518850</v>
      </c>
      <c r="N35" s="15">
        <v>0</v>
      </c>
      <c r="O35" s="15">
        <v>0</v>
      </c>
      <c r="P35" s="15">
        <v>0</v>
      </c>
      <c r="Q35" s="15">
        <f>5075-3500</f>
        <v>1575</v>
      </c>
      <c r="R35" s="15">
        <v>0</v>
      </c>
      <c r="S35" s="15">
        <f>2450-350</f>
        <v>2100</v>
      </c>
      <c r="T35" s="15">
        <f>14410-6335</f>
        <v>8075</v>
      </c>
      <c r="U35" s="15">
        <v>0</v>
      </c>
      <c r="V35" s="15">
        <v>0</v>
      </c>
      <c r="W35" s="15">
        <v>0</v>
      </c>
      <c r="X35" s="13">
        <f t="shared" ref="X35:X51" si="3">SUM(E35:W35)</f>
        <v>961560</v>
      </c>
    </row>
    <row r="36" spans="1:25" ht="36.75" customHeight="1">
      <c r="A36" s="101"/>
      <c r="B36" s="11">
        <v>4</v>
      </c>
      <c r="C36" s="12" t="s">
        <v>9</v>
      </c>
      <c r="D36" s="13">
        <v>0</v>
      </c>
      <c r="E36" s="15">
        <v>0</v>
      </c>
      <c r="F36" s="15">
        <v>1225</v>
      </c>
      <c r="G36" s="15">
        <v>0</v>
      </c>
      <c r="H36" s="14"/>
      <c r="I36" s="15">
        <v>0</v>
      </c>
      <c r="J36" s="15">
        <f>1225-525</f>
        <v>700</v>
      </c>
      <c r="K36" s="15">
        <f>2275-1925</f>
        <v>350</v>
      </c>
      <c r="L36" s="15">
        <v>0</v>
      </c>
      <c r="M36" s="15">
        <v>525</v>
      </c>
      <c r="N36" s="15">
        <v>0</v>
      </c>
      <c r="O36" s="15">
        <v>0</v>
      </c>
      <c r="P36" s="15">
        <v>0</v>
      </c>
      <c r="Q36" s="15">
        <f>484925-11025</f>
        <v>473900</v>
      </c>
      <c r="R36" s="15">
        <v>0</v>
      </c>
      <c r="S36" s="15">
        <v>0</v>
      </c>
      <c r="T36" s="15">
        <v>0</v>
      </c>
      <c r="U36" s="15">
        <v>1225</v>
      </c>
      <c r="V36" s="15">
        <v>700</v>
      </c>
      <c r="W36" s="15">
        <v>2480</v>
      </c>
      <c r="X36" s="13">
        <f t="shared" si="3"/>
        <v>481105</v>
      </c>
    </row>
    <row r="37" spans="1:25" ht="36.75" customHeight="1">
      <c r="A37" s="101"/>
      <c r="B37" s="11">
        <v>5</v>
      </c>
      <c r="C37" s="12" t="s">
        <v>10</v>
      </c>
      <c r="D37" s="13">
        <v>0</v>
      </c>
      <c r="E37" s="15">
        <v>0</v>
      </c>
      <c r="F37" s="15">
        <v>1050</v>
      </c>
      <c r="G37" s="15">
        <v>0</v>
      </c>
      <c r="H37" s="15">
        <f>5775-5075</f>
        <v>700</v>
      </c>
      <c r="I37" s="14"/>
      <c r="J37" s="15">
        <v>0</v>
      </c>
      <c r="K37" s="15">
        <v>0</v>
      </c>
      <c r="L37" s="15">
        <f>3150-2975</f>
        <v>175</v>
      </c>
      <c r="M37" s="15">
        <v>0</v>
      </c>
      <c r="N37" s="15">
        <v>0</v>
      </c>
      <c r="O37" s="15">
        <v>0</v>
      </c>
      <c r="P37" s="15">
        <f>127665-79100</f>
        <v>48565</v>
      </c>
      <c r="Q37" s="15">
        <v>3325</v>
      </c>
      <c r="R37" s="15">
        <v>0</v>
      </c>
      <c r="S37" s="15">
        <v>0</v>
      </c>
      <c r="T37" s="15">
        <f>161975-18200</f>
        <v>143775</v>
      </c>
      <c r="U37" s="15">
        <v>6125</v>
      </c>
      <c r="V37" s="15">
        <v>0</v>
      </c>
      <c r="W37" s="15">
        <v>0</v>
      </c>
      <c r="X37" s="13">
        <f t="shared" si="3"/>
        <v>203715</v>
      </c>
    </row>
    <row r="38" spans="1:25" ht="36.75" customHeight="1">
      <c r="A38" s="101"/>
      <c r="B38" s="11">
        <v>6</v>
      </c>
      <c r="C38" s="12" t="s">
        <v>11</v>
      </c>
      <c r="D38" s="13">
        <v>0</v>
      </c>
      <c r="E38" s="15">
        <v>0</v>
      </c>
      <c r="F38" s="15">
        <v>1400</v>
      </c>
      <c r="G38" s="15">
        <v>175</v>
      </c>
      <c r="H38" s="15">
        <v>0</v>
      </c>
      <c r="I38" s="15">
        <v>0</v>
      </c>
      <c r="J38" s="14"/>
      <c r="K38" s="15">
        <v>0</v>
      </c>
      <c r="L38" s="15">
        <v>0</v>
      </c>
      <c r="M38" s="15">
        <v>0</v>
      </c>
      <c r="N38" s="15">
        <f>14700-700</f>
        <v>14000</v>
      </c>
      <c r="O38" s="15">
        <f>487995-18025</f>
        <v>469970</v>
      </c>
      <c r="P38" s="15">
        <f>6125-1400</f>
        <v>4725</v>
      </c>
      <c r="Q38" s="15">
        <f>1925-700</f>
        <v>1225</v>
      </c>
      <c r="R38" s="15">
        <v>0</v>
      </c>
      <c r="S38" s="15">
        <v>0</v>
      </c>
      <c r="T38" s="15">
        <f>2975-1925</f>
        <v>1050</v>
      </c>
      <c r="U38" s="15">
        <v>175</v>
      </c>
      <c r="V38" s="15">
        <v>0</v>
      </c>
      <c r="W38" s="15">
        <v>0</v>
      </c>
      <c r="X38" s="13">
        <f t="shared" si="3"/>
        <v>492720</v>
      </c>
    </row>
    <row r="39" spans="1:25" ht="36.75" customHeight="1">
      <c r="A39" s="101"/>
      <c r="B39" s="11">
        <v>7</v>
      </c>
      <c r="C39" s="12" t="s">
        <v>12</v>
      </c>
      <c r="D39" s="13">
        <v>0</v>
      </c>
      <c r="E39" s="15">
        <v>0</v>
      </c>
      <c r="F39" s="15">
        <f>2275-350</f>
        <v>1925</v>
      </c>
      <c r="G39" s="15">
        <f>1925-875</f>
        <v>1050</v>
      </c>
      <c r="H39" s="15">
        <v>0</v>
      </c>
      <c r="I39" s="15">
        <f>2450-1575</f>
        <v>875</v>
      </c>
      <c r="J39" s="15">
        <v>0</v>
      </c>
      <c r="K39" s="14"/>
      <c r="L39" s="15">
        <v>0</v>
      </c>
      <c r="M39" s="15">
        <v>0</v>
      </c>
      <c r="N39" s="15">
        <v>0</v>
      </c>
      <c r="O39" s="15">
        <v>0</v>
      </c>
      <c r="P39" s="15">
        <f>4580-2830</f>
        <v>1750</v>
      </c>
      <c r="Q39" s="15">
        <f>875-525</f>
        <v>350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3">
        <f t="shared" si="3"/>
        <v>5950</v>
      </c>
    </row>
    <row r="40" spans="1:25" ht="36.75" customHeight="1">
      <c r="A40" s="101"/>
      <c r="B40" s="11">
        <v>8</v>
      </c>
      <c r="C40" s="12" t="s">
        <v>13</v>
      </c>
      <c r="D40" s="13">
        <v>0</v>
      </c>
      <c r="E40" s="15">
        <v>0</v>
      </c>
      <c r="F40" s="15">
        <f>6300-350</f>
        <v>5950</v>
      </c>
      <c r="G40" s="15">
        <v>525</v>
      </c>
      <c r="H40" s="15">
        <f>1400-875</f>
        <v>525</v>
      </c>
      <c r="I40" s="15">
        <v>0</v>
      </c>
      <c r="J40" s="15">
        <v>175</v>
      </c>
      <c r="K40" s="15">
        <f>2275-350</f>
        <v>1925</v>
      </c>
      <c r="L40" s="14"/>
      <c r="M40" s="15">
        <v>0</v>
      </c>
      <c r="N40" s="15">
        <v>0</v>
      </c>
      <c r="O40" s="15">
        <v>0</v>
      </c>
      <c r="P40" s="15">
        <f>6650-2800</f>
        <v>3850</v>
      </c>
      <c r="Q40" s="15">
        <f>1750-700</f>
        <v>1050</v>
      </c>
      <c r="R40" s="15">
        <v>0</v>
      </c>
      <c r="S40" s="15">
        <f>1750-525</f>
        <v>1225</v>
      </c>
      <c r="T40" s="15">
        <v>0</v>
      </c>
      <c r="U40" s="15">
        <v>0</v>
      </c>
      <c r="V40" s="15">
        <v>175</v>
      </c>
      <c r="W40" s="15">
        <v>350</v>
      </c>
      <c r="X40" s="13">
        <f t="shared" si="3"/>
        <v>15750</v>
      </c>
    </row>
    <row r="41" spans="1:25" ht="36.75" customHeight="1">
      <c r="A41" s="101"/>
      <c r="B41" s="11">
        <v>9</v>
      </c>
      <c r="C41" s="12" t="s">
        <v>14</v>
      </c>
      <c r="D41" s="16"/>
      <c r="E41" s="17">
        <v>0</v>
      </c>
      <c r="F41" s="17">
        <v>350</v>
      </c>
      <c r="G41" s="17">
        <v>0</v>
      </c>
      <c r="H41" s="17">
        <v>0</v>
      </c>
      <c r="I41" s="17">
        <f>360675-4900</f>
        <v>355775</v>
      </c>
      <c r="J41" s="17">
        <v>1050</v>
      </c>
      <c r="K41" s="17">
        <v>700</v>
      </c>
      <c r="L41" s="17">
        <v>0</v>
      </c>
      <c r="M41" s="14"/>
      <c r="N41" s="17">
        <v>0</v>
      </c>
      <c r="O41" s="17">
        <f>700-525</f>
        <v>175</v>
      </c>
      <c r="P41" s="17">
        <f>7730-2975</f>
        <v>4755</v>
      </c>
      <c r="Q41" s="17">
        <v>875</v>
      </c>
      <c r="R41" s="17">
        <v>0</v>
      </c>
      <c r="S41" s="17">
        <v>0</v>
      </c>
      <c r="T41" s="17">
        <f>4930-700</f>
        <v>4230</v>
      </c>
      <c r="U41" s="17">
        <v>1750</v>
      </c>
      <c r="V41" s="104">
        <v>0</v>
      </c>
      <c r="W41" s="104">
        <v>175</v>
      </c>
      <c r="X41" s="13">
        <f t="shared" si="3"/>
        <v>369835</v>
      </c>
    </row>
    <row r="42" spans="1:25" ht="43.5" customHeight="1">
      <c r="A42" s="101"/>
      <c r="B42" s="11">
        <v>10</v>
      </c>
      <c r="C42" s="12" t="s">
        <v>15</v>
      </c>
      <c r="D42" s="13">
        <v>0</v>
      </c>
      <c r="E42" s="15">
        <v>0</v>
      </c>
      <c r="F42" s="15">
        <v>40841</v>
      </c>
      <c r="G42" s="15">
        <v>3150</v>
      </c>
      <c r="H42" s="15">
        <v>4550</v>
      </c>
      <c r="I42" s="15">
        <v>0</v>
      </c>
      <c r="J42" s="15">
        <v>0</v>
      </c>
      <c r="K42" s="15">
        <v>2450</v>
      </c>
      <c r="L42" s="15">
        <v>175</v>
      </c>
      <c r="M42" s="15">
        <v>700</v>
      </c>
      <c r="N42" s="14"/>
      <c r="O42" s="15">
        <v>0</v>
      </c>
      <c r="P42" s="15">
        <v>15750</v>
      </c>
      <c r="Q42" s="15">
        <v>7410</v>
      </c>
      <c r="R42" s="15">
        <v>700</v>
      </c>
      <c r="S42" s="15">
        <v>1750</v>
      </c>
      <c r="T42" s="15">
        <v>5950</v>
      </c>
      <c r="U42" s="15">
        <v>175</v>
      </c>
      <c r="V42" s="15">
        <v>1400</v>
      </c>
      <c r="W42" s="15">
        <v>350</v>
      </c>
      <c r="X42" s="13">
        <f t="shared" si="3"/>
        <v>85351</v>
      </c>
    </row>
    <row r="43" spans="1:25" ht="43.5" customHeight="1">
      <c r="A43" s="101"/>
      <c r="B43" s="11">
        <v>11</v>
      </c>
      <c r="C43" s="12" t="s">
        <v>16</v>
      </c>
      <c r="D43" s="13">
        <v>0</v>
      </c>
      <c r="E43" s="15">
        <v>0</v>
      </c>
      <c r="F43" s="15">
        <v>2800</v>
      </c>
      <c r="G43" s="15">
        <f>1985-1050</f>
        <v>935</v>
      </c>
      <c r="H43" s="15">
        <f>91700-20505</f>
        <v>71195</v>
      </c>
      <c r="I43" s="15">
        <v>3325</v>
      </c>
      <c r="J43" s="15">
        <v>0</v>
      </c>
      <c r="K43" s="15">
        <f>1575-700</f>
        <v>875</v>
      </c>
      <c r="L43" s="15">
        <v>0</v>
      </c>
      <c r="M43" s="15">
        <v>0</v>
      </c>
      <c r="N43" s="15">
        <v>0</v>
      </c>
      <c r="O43" s="14"/>
      <c r="P43" s="15">
        <f>15955-6855</f>
        <v>9100</v>
      </c>
      <c r="Q43" s="15">
        <f>130725-22255</f>
        <v>108470</v>
      </c>
      <c r="R43" s="15">
        <v>0</v>
      </c>
      <c r="S43" s="15">
        <v>0</v>
      </c>
      <c r="T43" s="15">
        <f>9510-2305</f>
        <v>7205</v>
      </c>
      <c r="U43" s="15">
        <f>1750-1400</f>
        <v>350</v>
      </c>
      <c r="V43" s="15">
        <v>0</v>
      </c>
      <c r="W43" s="15">
        <v>700</v>
      </c>
      <c r="X43" s="13">
        <f t="shared" si="3"/>
        <v>204955</v>
      </c>
    </row>
    <row r="44" spans="1:25" ht="43.5" customHeight="1">
      <c r="A44" s="101"/>
      <c r="B44" s="11">
        <v>12</v>
      </c>
      <c r="C44" s="12" t="s">
        <v>17</v>
      </c>
      <c r="D44" s="13">
        <v>0</v>
      </c>
      <c r="E44" s="15">
        <v>0</v>
      </c>
      <c r="F44" s="15">
        <f>4550-1400</f>
        <v>3150</v>
      </c>
      <c r="G44" s="15">
        <f>100155-43520</f>
        <v>56635</v>
      </c>
      <c r="H44" s="15">
        <f>232917-77440</f>
        <v>155477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4"/>
      <c r="Q44" s="15">
        <v>0</v>
      </c>
      <c r="R44" s="15">
        <f>7875-6650</f>
        <v>1225</v>
      </c>
      <c r="S44" s="15">
        <v>0</v>
      </c>
      <c r="T44" s="15">
        <f>865915-93250</f>
        <v>772665</v>
      </c>
      <c r="U44" s="15">
        <f>5660-175</f>
        <v>5485</v>
      </c>
      <c r="V44" s="15">
        <v>1575</v>
      </c>
      <c r="W44" s="15">
        <v>0</v>
      </c>
      <c r="X44" s="13">
        <f t="shared" si="3"/>
        <v>996212</v>
      </c>
    </row>
    <row r="45" spans="1:25" s="20" customFormat="1" ht="43.5" customHeight="1">
      <c r="A45" s="101"/>
      <c r="B45" s="11">
        <v>13</v>
      </c>
      <c r="C45" s="19" t="s">
        <v>18</v>
      </c>
      <c r="D45" s="13">
        <v>0</v>
      </c>
      <c r="E45" s="15">
        <v>0</v>
      </c>
      <c r="F45" s="15">
        <v>2625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>7700-6475</f>
        <v>1225</v>
      </c>
      <c r="Q45" s="14"/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f t="shared" si="3"/>
        <v>3850</v>
      </c>
    </row>
    <row r="46" spans="1:25" ht="43.5" customHeight="1">
      <c r="A46" s="101"/>
      <c r="B46" s="11">
        <v>14</v>
      </c>
      <c r="C46" s="12" t="s">
        <v>19</v>
      </c>
      <c r="D46" s="13">
        <v>0</v>
      </c>
      <c r="E46" s="15">
        <v>0</v>
      </c>
      <c r="F46" s="15">
        <f>1575-700</f>
        <v>875</v>
      </c>
      <c r="G46" s="15">
        <f>3150-2275</f>
        <v>875</v>
      </c>
      <c r="H46" s="15">
        <f>2450-1050</f>
        <v>1400</v>
      </c>
      <c r="I46" s="15">
        <f>226100-36750</f>
        <v>189350</v>
      </c>
      <c r="J46" s="15">
        <f>525-175</f>
        <v>350</v>
      </c>
      <c r="K46" s="15">
        <f>2100-350</f>
        <v>1750</v>
      </c>
      <c r="L46" s="15">
        <f>2100-175</f>
        <v>1925</v>
      </c>
      <c r="M46" s="15">
        <f>2800-175</f>
        <v>2625</v>
      </c>
      <c r="N46" s="15">
        <v>0</v>
      </c>
      <c r="O46" s="15">
        <f>1255-525</f>
        <v>730</v>
      </c>
      <c r="P46" s="15">
        <v>0</v>
      </c>
      <c r="Q46" s="15">
        <f>380-350</f>
        <v>30</v>
      </c>
      <c r="R46" s="14"/>
      <c r="S46" s="15">
        <f>1255-175</f>
        <v>1080</v>
      </c>
      <c r="T46" s="15">
        <f>52095-4200</f>
        <v>47895</v>
      </c>
      <c r="U46" s="15">
        <f>12075-2975</f>
        <v>9100</v>
      </c>
      <c r="V46" s="15">
        <v>525</v>
      </c>
      <c r="W46" s="15">
        <v>0</v>
      </c>
      <c r="X46" s="15">
        <f t="shared" si="3"/>
        <v>258510</v>
      </c>
      <c r="Y46" s="20"/>
    </row>
    <row r="47" spans="1:25" ht="43.5" customHeight="1">
      <c r="A47" s="101"/>
      <c r="B47" s="11">
        <v>15</v>
      </c>
      <c r="C47" s="12" t="s">
        <v>20</v>
      </c>
      <c r="D47" s="13">
        <v>0</v>
      </c>
      <c r="E47" s="15">
        <v>0</v>
      </c>
      <c r="F47" s="15">
        <v>2100</v>
      </c>
      <c r="G47" s="15">
        <v>0</v>
      </c>
      <c r="H47" s="15">
        <f>31850-18200</f>
        <v>13650</v>
      </c>
      <c r="I47" s="15">
        <f>2625-1225</f>
        <v>1400</v>
      </c>
      <c r="J47" s="15">
        <f>4025-1225</f>
        <v>2800</v>
      </c>
      <c r="K47" s="15">
        <v>1225</v>
      </c>
      <c r="L47" s="15">
        <v>0</v>
      </c>
      <c r="M47" s="15">
        <v>525</v>
      </c>
      <c r="N47" s="15">
        <v>0</v>
      </c>
      <c r="O47" s="15">
        <f>91000-16975</f>
        <v>74025</v>
      </c>
      <c r="P47" s="15">
        <f>11960-7875</f>
        <v>4085</v>
      </c>
      <c r="Q47" s="15">
        <f>3675-875</f>
        <v>2800</v>
      </c>
      <c r="R47" s="15">
        <v>0</v>
      </c>
      <c r="S47" s="14"/>
      <c r="T47" s="15">
        <f>4550-875</f>
        <v>3675</v>
      </c>
      <c r="U47" s="15">
        <v>1780</v>
      </c>
      <c r="V47" s="15">
        <v>0</v>
      </c>
      <c r="W47" s="15">
        <v>0</v>
      </c>
      <c r="X47" s="15">
        <f t="shared" si="3"/>
        <v>108065</v>
      </c>
      <c r="Y47" s="20"/>
    </row>
    <row r="48" spans="1:25" ht="43.5" customHeight="1">
      <c r="A48" s="101"/>
      <c r="B48" s="11">
        <v>16</v>
      </c>
      <c r="C48" s="12" t="s">
        <v>21</v>
      </c>
      <c r="D48" s="13">
        <v>0</v>
      </c>
      <c r="E48" s="15">
        <v>0</v>
      </c>
      <c r="F48" s="15">
        <v>7700</v>
      </c>
      <c r="G48" s="15">
        <v>0</v>
      </c>
      <c r="H48" s="15">
        <f>51625-11260</f>
        <v>40365</v>
      </c>
      <c r="I48" s="15">
        <v>0</v>
      </c>
      <c r="J48" s="15">
        <v>0</v>
      </c>
      <c r="K48" s="15">
        <f>3675-1285</f>
        <v>2390</v>
      </c>
      <c r="L48" s="15">
        <f>3675-1955</f>
        <v>1720</v>
      </c>
      <c r="M48" s="15">
        <v>0</v>
      </c>
      <c r="N48" s="15">
        <v>0</v>
      </c>
      <c r="O48" s="15">
        <v>0</v>
      </c>
      <c r="P48" s="15">
        <v>0</v>
      </c>
      <c r="Q48" s="15">
        <f>1925-1080</f>
        <v>845</v>
      </c>
      <c r="R48" s="15">
        <v>0</v>
      </c>
      <c r="S48" s="15">
        <v>0</v>
      </c>
      <c r="T48" s="14"/>
      <c r="U48" s="15">
        <v>0</v>
      </c>
      <c r="V48" s="15">
        <v>0</v>
      </c>
      <c r="W48" s="15">
        <v>0</v>
      </c>
      <c r="X48" s="15">
        <f t="shared" si="3"/>
        <v>53020</v>
      </c>
      <c r="Y48" s="20"/>
    </row>
    <row r="49" spans="1:24" ht="43.5" customHeight="1">
      <c r="A49" s="101"/>
      <c r="B49" s="11">
        <v>17</v>
      </c>
      <c r="C49" s="12" t="s">
        <v>23</v>
      </c>
      <c r="D49" s="13">
        <v>0</v>
      </c>
      <c r="E49" s="15">
        <v>0</v>
      </c>
      <c r="F49" s="15">
        <v>8280</v>
      </c>
      <c r="G49" s="15">
        <f>2450-875</f>
        <v>1575</v>
      </c>
      <c r="H49" s="15">
        <v>0</v>
      </c>
      <c r="I49" s="15">
        <v>0</v>
      </c>
      <c r="J49" s="15">
        <v>0</v>
      </c>
      <c r="K49" s="15">
        <f>2305-1575</f>
        <v>730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2275</v>
      </c>
      <c r="R49" s="15">
        <v>0</v>
      </c>
      <c r="S49" s="15">
        <v>0</v>
      </c>
      <c r="T49" s="15">
        <f>537227-5425</f>
        <v>531802</v>
      </c>
      <c r="U49" s="14"/>
      <c r="V49" s="15">
        <v>0</v>
      </c>
      <c r="W49" s="13">
        <v>0</v>
      </c>
      <c r="X49" s="13">
        <f t="shared" si="3"/>
        <v>544662</v>
      </c>
    </row>
    <row r="50" spans="1:24" ht="43.5" customHeight="1">
      <c r="A50" s="101"/>
      <c r="B50" s="11">
        <v>18</v>
      </c>
      <c r="C50" s="12" t="s">
        <v>22</v>
      </c>
      <c r="D50" s="13">
        <v>0</v>
      </c>
      <c r="E50" s="15">
        <f>525-175</f>
        <v>350</v>
      </c>
      <c r="F50" s="15">
        <v>875</v>
      </c>
      <c r="G50" s="15">
        <v>1050</v>
      </c>
      <c r="H50" s="15">
        <v>0</v>
      </c>
      <c r="I50" s="15">
        <v>0</v>
      </c>
      <c r="J50" s="15">
        <f>84000-5425</f>
        <v>78575</v>
      </c>
      <c r="K50" s="15">
        <v>0</v>
      </c>
      <c r="L50" s="15">
        <v>0</v>
      </c>
      <c r="M50" s="15">
        <v>0</v>
      </c>
      <c r="N50" s="15">
        <v>0</v>
      </c>
      <c r="O50" s="15">
        <f>59150-30800</f>
        <v>28350</v>
      </c>
      <c r="P50" s="15">
        <v>0</v>
      </c>
      <c r="Q50" s="15">
        <f>2625-700</f>
        <v>1925</v>
      </c>
      <c r="R50" s="15">
        <v>0</v>
      </c>
      <c r="S50" s="15">
        <f>221905-26047</f>
        <v>195858</v>
      </c>
      <c r="T50" s="15">
        <f>700-175</f>
        <v>525</v>
      </c>
      <c r="U50" s="15">
        <v>0</v>
      </c>
      <c r="V50" s="14">
        <v>0</v>
      </c>
      <c r="W50" s="13">
        <v>0</v>
      </c>
      <c r="X50" s="13">
        <f t="shared" si="3"/>
        <v>307508</v>
      </c>
    </row>
    <row r="51" spans="1:24" ht="43.5" customHeight="1">
      <c r="A51" s="101"/>
      <c r="B51" s="21">
        <v>19</v>
      </c>
      <c r="C51" s="22" t="s">
        <v>24</v>
      </c>
      <c r="D51" s="23">
        <v>0</v>
      </c>
      <c r="E51" s="24">
        <v>700</v>
      </c>
      <c r="F51" s="24">
        <v>875</v>
      </c>
      <c r="G51" s="24">
        <f>700-175</f>
        <v>525</v>
      </c>
      <c r="H51" s="24">
        <v>0</v>
      </c>
      <c r="I51" s="24">
        <v>0</v>
      </c>
      <c r="J51" s="24">
        <v>175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f>559835-5775</f>
        <v>554060</v>
      </c>
      <c r="Q51" s="24">
        <f>525-175</f>
        <v>350</v>
      </c>
      <c r="R51" s="24">
        <f>350-175</f>
        <v>175</v>
      </c>
      <c r="S51" s="24">
        <v>0</v>
      </c>
      <c r="T51" s="24">
        <f>54520-35875</f>
        <v>18645</v>
      </c>
      <c r="U51" s="23">
        <v>0</v>
      </c>
      <c r="V51" s="23">
        <v>175</v>
      </c>
      <c r="W51" s="14"/>
      <c r="X51" s="24">
        <f t="shared" si="3"/>
        <v>575680</v>
      </c>
    </row>
    <row r="52" spans="1:24" ht="37.5" customHeight="1">
      <c r="A52" s="101"/>
      <c r="B52" s="79" t="s">
        <v>25</v>
      </c>
      <c r="C52" s="80"/>
      <c r="D52" s="25">
        <f>SUM(D33:D51)</f>
        <v>0</v>
      </c>
      <c r="E52" s="23">
        <f>SUM(E33:E51)</f>
        <v>1750</v>
      </c>
      <c r="F52" s="23">
        <f>SUM(F33:F51)</f>
        <v>83306</v>
      </c>
      <c r="G52" s="23">
        <f>SUM(G33:G51)</f>
        <v>66670</v>
      </c>
      <c r="H52" s="23">
        <f>SUM(H33:H51)</f>
        <v>288737</v>
      </c>
      <c r="I52" s="23">
        <f>SUM(I33:I51)</f>
        <v>980985</v>
      </c>
      <c r="J52" s="23">
        <f>SUM(J33:J51)</f>
        <v>84175</v>
      </c>
      <c r="K52" s="23">
        <f>SUM(K33:K51)</f>
        <v>12920</v>
      </c>
      <c r="L52" s="23">
        <f>SUM(L33:L51)</f>
        <v>3995</v>
      </c>
      <c r="M52" s="23">
        <f>SUM(M33:M51)</f>
        <v>523225</v>
      </c>
      <c r="N52" s="23">
        <f>SUM(N33:N51)</f>
        <v>940100</v>
      </c>
      <c r="O52" s="23">
        <f>SUM(O33:O51)</f>
        <v>575925</v>
      </c>
      <c r="P52" s="23">
        <f>SUM(P33:P51)</f>
        <v>653290</v>
      </c>
      <c r="Q52" s="24">
        <f>SUM(Q33:Q51)</f>
        <v>611305</v>
      </c>
      <c r="R52" s="23">
        <f>SUM(R33:R51)</f>
        <v>2275</v>
      </c>
      <c r="S52" s="23">
        <f>SUM(S33:S51)</f>
        <v>202013</v>
      </c>
      <c r="T52" s="24">
        <f>SUM(T33:T51)</f>
        <v>1548117</v>
      </c>
      <c r="U52" s="23">
        <f>SUM(U33:U51)</f>
        <v>27215</v>
      </c>
      <c r="V52" s="23">
        <f>SUM(V33:V51)</f>
        <v>4550</v>
      </c>
      <c r="W52" s="24">
        <f>SUM(W33:W51)</f>
        <v>4055</v>
      </c>
      <c r="X52" s="26">
        <f>SUM(E52:W52)</f>
        <v>6614608</v>
      </c>
    </row>
  </sheetData>
  <mergeCells count="10">
    <mergeCell ref="A32:A52"/>
    <mergeCell ref="B52:C52"/>
    <mergeCell ref="A31:X31"/>
    <mergeCell ref="A29:X29"/>
    <mergeCell ref="A28:X28"/>
    <mergeCell ref="A1:X1"/>
    <mergeCell ref="A2:X2"/>
    <mergeCell ref="A4:X4"/>
    <mergeCell ref="A5:A26"/>
    <mergeCell ref="B26:C2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zoomScale="130" zoomScaleNormal="130" workbookViewId="0">
      <selection activeCell="C13" sqref="C13"/>
    </sheetView>
  </sheetViews>
  <sheetFormatPr defaultRowHeight="14.25"/>
  <cols>
    <col min="1" max="1" width="3.75" customWidth="1"/>
    <col min="2" max="2" width="22.875" bestFit="1" customWidth="1"/>
    <col min="3" max="4" width="9.375" style="46" bestFit="1" customWidth="1"/>
    <col min="5" max="5" width="4.25" style="44" customWidth="1"/>
    <col min="6" max="6" width="21" style="44" customWidth="1"/>
    <col min="7" max="8" width="9.375" style="46" customWidth="1"/>
  </cols>
  <sheetData>
    <row r="1" spans="1:8">
      <c r="A1" s="81" t="s">
        <v>10</v>
      </c>
      <c r="B1" s="82"/>
      <c r="C1" s="82"/>
      <c r="D1" s="82"/>
      <c r="E1" s="82" t="s">
        <v>11</v>
      </c>
      <c r="F1" s="82"/>
      <c r="G1" s="82"/>
      <c r="H1" s="83"/>
    </row>
    <row r="2" spans="1:8">
      <c r="A2" s="59" t="s">
        <v>32</v>
      </c>
      <c r="B2" s="48"/>
      <c r="C2" s="49">
        <v>1925</v>
      </c>
      <c r="D2" s="60"/>
      <c r="E2" s="47" t="s">
        <v>35</v>
      </c>
      <c r="F2" s="48"/>
      <c r="G2" s="49">
        <v>1925</v>
      </c>
      <c r="H2" s="50"/>
    </row>
    <row r="3" spans="1:8">
      <c r="A3" s="61"/>
      <c r="B3" s="52" t="s">
        <v>33</v>
      </c>
      <c r="C3" s="53"/>
      <c r="D3" s="62">
        <v>1925</v>
      </c>
      <c r="E3" s="51"/>
      <c r="F3" s="52" t="s">
        <v>38</v>
      </c>
      <c r="G3" s="53"/>
      <c r="H3" s="54">
        <v>1925</v>
      </c>
    </row>
    <row r="4" spans="1:8">
      <c r="A4" s="61"/>
      <c r="B4" s="52"/>
      <c r="C4" s="53"/>
      <c r="D4" s="62"/>
      <c r="E4" s="51"/>
      <c r="F4" s="52"/>
      <c r="G4" s="53"/>
      <c r="H4" s="54"/>
    </row>
    <row r="5" spans="1:8">
      <c r="A5" s="61" t="s">
        <v>35</v>
      </c>
      <c r="B5" s="52"/>
      <c r="C5" s="53">
        <v>6725</v>
      </c>
      <c r="D5" s="62"/>
      <c r="E5" s="51" t="s">
        <v>39</v>
      </c>
      <c r="F5" s="52"/>
      <c r="G5" s="53">
        <v>6725</v>
      </c>
      <c r="H5" s="54"/>
    </row>
    <row r="6" spans="1:8">
      <c r="A6" s="61"/>
      <c r="B6" s="52" t="s">
        <v>34</v>
      </c>
      <c r="C6" s="53"/>
      <c r="D6" s="62">
        <v>6725</v>
      </c>
      <c r="E6" s="51"/>
      <c r="F6" s="52" t="s">
        <v>33</v>
      </c>
      <c r="G6" s="53"/>
      <c r="H6" s="54">
        <v>6725</v>
      </c>
    </row>
    <row r="7" spans="1:8">
      <c r="A7" s="61"/>
      <c r="B7" s="52"/>
      <c r="C7" s="53"/>
      <c r="D7" s="62"/>
      <c r="E7" s="51"/>
      <c r="F7" s="52"/>
      <c r="G7" s="53"/>
      <c r="H7" s="54"/>
    </row>
    <row r="8" spans="1:8" s="44" customFormat="1">
      <c r="A8" s="65" t="s">
        <v>42</v>
      </c>
      <c r="B8" s="52"/>
      <c r="C8" s="53"/>
      <c r="D8" s="62"/>
      <c r="E8" s="66" t="s">
        <v>42</v>
      </c>
      <c r="F8" s="52"/>
      <c r="G8" s="53"/>
      <c r="H8" s="54"/>
    </row>
    <row r="9" spans="1:8">
      <c r="A9" s="61" t="s">
        <v>36</v>
      </c>
      <c r="B9" s="52"/>
      <c r="C9" s="53">
        <v>1925</v>
      </c>
      <c r="D9" s="62"/>
      <c r="E9" s="51" t="s">
        <v>40</v>
      </c>
      <c r="F9" s="52"/>
      <c r="G9" s="53">
        <v>1925</v>
      </c>
      <c r="H9" s="62"/>
    </row>
    <row r="10" spans="1:8">
      <c r="A10" s="61"/>
      <c r="B10" s="52" t="s">
        <v>37</v>
      </c>
      <c r="C10" s="53"/>
      <c r="D10" s="62">
        <v>1925</v>
      </c>
      <c r="E10" s="51"/>
      <c r="F10" s="52" t="s">
        <v>41</v>
      </c>
      <c r="G10" s="53"/>
      <c r="H10" s="62">
        <v>1925</v>
      </c>
    </row>
    <row r="11" spans="1:8">
      <c r="A11" s="63"/>
      <c r="B11" s="56"/>
      <c r="C11" s="57"/>
      <c r="D11" s="64"/>
      <c r="E11" s="55"/>
      <c r="F11" s="56"/>
      <c r="G11" s="57"/>
      <c r="H11" s="58"/>
    </row>
  </sheetData>
  <mergeCells count="2">
    <mergeCell ref="A1:D1"/>
    <mergeCell ref="E1:H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zoomScale="120" zoomScaleNormal="120" workbookViewId="0">
      <selection activeCell="B15" sqref="B15:C15"/>
    </sheetView>
  </sheetViews>
  <sheetFormatPr defaultRowHeight="23.25"/>
  <cols>
    <col min="1" max="1" width="23.875" style="67" customWidth="1"/>
    <col min="2" max="3" width="11.125" style="67" customWidth="1"/>
    <col min="4" max="4" width="23.5" style="67" customWidth="1"/>
    <col min="5" max="5" width="10" style="67" customWidth="1"/>
    <col min="6" max="6" width="10.75" style="67" customWidth="1"/>
    <col min="7" max="16384" width="9" style="67"/>
  </cols>
  <sheetData>
    <row r="1" spans="1:6">
      <c r="A1" s="85" t="s">
        <v>43</v>
      </c>
      <c r="B1" s="85"/>
      <c r="C1" s="85"/>
      <c r="D1" s="85"/>
      <c r="E1" s="85"/>
      <c r="F1" s="85"/>
    </row>
    <row r="2" spans="1:6">
      <c r="A2" s="85" t="s">
        <v>44</v>
      </c>
      <c r="B2" s="85"/>
      <c r="C2" s="85"/>
      <c r="D2" s="85"/>
      <c r="E2" s="85"/>
      <c r="F2" s="85"/>
    </row>
    <row r="3" spans="1:6">
      <c r="A3" s="85" t="s">
        <v>45</v>
      </c>
      <c r="B3" s="85"/>
      <c r="C3" s="85"/>
      <c r="D3" s="85"/>
      <c r="E3" s="85"/>
      <c r="F3" s="85"/>
    </row>
    <row r="4" spans="1:6">
      <c r="A4" s="84" t="s">
        <v>67</v>
      </c>
      <c r="B4" s="85"/>
      <c r="C4" s="85"/>
      <c r="D4" s="85"/>
      <c r="E4" s="85"/>
      <c r="F4" s="85"/>
    </row>
    <row r="5" spans="1:6">
      <c r="A5" s="85" t="s">
        <v>46</v>
      </c>
      <c r="B5" s="85"/>
      <c r="C5" s="85"/>
      <c r="D5" s="85"/>
      <c r="E5" s="85"/>
      <c r="F5" s="85"/>
    </row>
    <row r="6" spans="1:6">
      <c r="A6" s="84" t="s">
        <v>68</v>
      </c>
      <c r="B6" s="85"/>
      <c r="C6" s="85"/>
      <c r="D6" s="85"/>
      <c r="E6" s="85"/>
      <c r="F6" s="85"/>
    </row>
    <row r="7" spans="1:6">
      <c r="A7" s="85" t="s">
        <v>47</v>
      </c>
      <c r="B7" s="85"/>
      <c r="C7" s="85"/>
      <c r="D7" s="85"/>
      <c r="E7" s="85"/>
      <c r="F7" s="85"/>
    </row>
    <row r="8" spans="1:6">
      <c r="A8" s="85" t="s">
        <v>69</v>
      </c>
      <c r="B8" s="85"/>
      <c r="C8" s="85"/>
      <c r="D8" s="85"/>
      <c r="E8" s="85"/>
      <c r="F8" s="85"/>
    </row>
    <row r="9" spans="1:6">
      <c r="A9" s="85" t="s">
        <v>48</v>
      </c>
      <c r="B9" s="85"/>
      <c r="C9" s="85"/>
      <c r="D9" s="85"/>
      <c r="E9" s="85"/>
      <c r="F9" s="85"/>
    </row>
    <row r="10" spans="1:6">
      <c r="A10" s="86" t="s">
        <v>30</v>
      </c>
      <c r="B10" s="88" t="s">
        <v>49</v>
      </c>
      <c r="C10" s="88"/>
      <c r="D10" s="86" t="s">
        <v>30</v>
      </c>
      <c r="E10" s="89" t="s">
        <v>50</v>
      </c>
      <c r="F10" s="89"/>
    </row>
    <row r="11" spans="1:6">
      <c r="A11" s="87"/>
      <c r="B11" s="68" t="s">
        <v>51</v>
      </c>
      <c r="C11" s="68" t="s">
        <v>52</v>
      </c>
      <c r="D11" s="87"/>
      <c r="E11" s="68" t="s">
        <v>51</v>
      </c>
      <c r="F11" s="68" t="s">
        <v>52</v>
      </c>
    </row>
    <row r="12" spans="1:6">
      <c r="A12" s="69" t="s">
        <v>67</v>
      </c>
      <c r="B12" s="72">
        <v>6725</v>
      </c>
      <c r="C12" s="72">
        <v>1925</v>
      </c>
      <c r="D12" s="69" t="s">
        <v>67</v>
      </c>
      <c r="E12" s="68"/>
      <c r="F12" s="68"/>
    </row>
    <row r="13" spans="1:6">
      <c r="A13" s="69" t="s">
        <v>68</v>
      </c>
      <c r="B13" s="72">
        <v>1925</v>
      </c>
      <c r="C13" s="72">
        <v>6725</v>
      </c>
      <c r="D13" s="69" t="s">
        <v>68</v>
      </c>
      <c r="E13" s="69"/>
      <c r="F13" s="69"/>
    </row>
    <row r="14" spans="1:6" ht="42.75" customHeight="1">
      <c r="A14" s="69" t="s">
        <v>53</v>
      </c>
      <c r="B14" s="72">
        <v>4800</v>
      </c>
      <c r="C14" s="72">
        <v>4800</v>
      </c>
      <c r="D14" s="69" t="s">
        <v>53</v>
      </c>
      <c r="E14" s="69"/>
      <c r="F14" s="69"/>
    </row>
    <row r="15" spans="1:6" ht="44.25" customHeight="1">
      <c r="A15" s="69" t="s">
        <v>54</v>
      </c>
      <c r="B15" s="90"/>
      <c r="C15" s="91"/>
      <c r="D15" s="69" t="s">
        <v>54</v>
      </c>
      <c r="E15" s="90"/>
      <c r="F15" s="91"/>
    </row>
    <row r="16" spans="1:6">
      <c r="A16" s="69" t="s">
        <v>55</v>
      </c>
      <c r="B16" s="90"/>
      <c r="C16" s="91"/>
      <c r="D16" s="69" t="s">
        <v>55</v>
      </c>
      <c r="E16" s="90"/>
      <c r="F16" s="91"/>
    </row>
    <row r="18" spans="1:6">
      <c r="A18" s="85" t="s">
        <v>56</v>
      </c>
      <c r="B18" s="85"/>
      <c r="C18" s="85"/>
      <c r="D18" s="85"/>
      <c r="E18" s="85"/>
      <c r="F18" s="85"/>
    </row>
    <row r="19" spans="1:6">
      <c r="A19" s="85" t="s">
        <v>57</v>
      </c>
      <c r="B19" s="85"/>
      <c r="C19" s="85"/>
      <c r="D19" s="85"/>
      <c r="E19" s="85"/>
      <c r="F19" s="85"/>
    </row>
    <row r="20" spans="1:6">
      <c r="A20" s="92" t="s">
        <v>58</v>
      </c>
      <c r="B20" s="92"/>
      <c r="C20" s="92"/>
      <c r="D20" s="92"/>
      <c r="E20" s="92"/>
      <c r="F20" s="92"/>
    </row>
    <row r="21" spans="1:6">
      <c r="A21" s="92" t="s">
        <v>59</v>
      </c>
      <c r="B21" s="92"/>
      <c r="C21" s="92"/>
      <c r="D21" s="92"/>
      <c r="E21" s="92"/>
      <c r="F21" s="92"/>
    </row>
    <row r="22" spans="1:6">
      <c r="A22" s="70"/>
      <c r="B22" s="70"/>
      <c r="C22" s="70"/>
      <c r="D22" s="70"/>
      <c r="E22" s="70"/>
      <c r="F22" s="70"/>
    </row>
    <row r="23" spans="1:6">
      <c r="A23" s="85" t="s">
        <v>60</v>
      </c>
      <c r="B23" s="85"/>
      <c r="C23" s="85"/>
      <c r="D23" s="85" t="s">
        <v>61</v>
      </c>
      <c r="E23" s="85"/>
      <c r="F23" s="85"/>
    </row>
    <row r="24" spans="1:6">
      <c r="A24" s="85" t="s">
        <v>62</v>
      </c>
      <c r="B24" s="85"/>
      <c r="C24" s="85"/>
      <c r="D24" s="85" t="s">
        <v>63</v>
      </c>
      <c r="E24" s="85"/>
      <c r="F24" s="85"/>
    </row>
    <row r="25" spans="1:6">
      <c r="A25" s="85" t="s">
        <v>64</v>
      </c>
      <c r="B25" s="85"/>
      <c r="C25" s="85"/>
      <c r="D25" s="85" t="s">
        <v>65</v>
      </c>
      <c r="E25" s="85"/>
      <c r="F25" s="85"/>
    </row>
    <row r="26" spans="1:6">
      <c r="A26" s="85"/>
      <c r="B26" s="85"/>
      <c r="C26" s="85"/>
      <c r="D26" s="85"/>
      <c r="E26" s="85"/>
      <c r="F26" s="85"/>
    </row>
    <row r="27" spans="1:6">
      <c r="A27" s="71"/>
      <c r="B27" s="71"/>
      <c r="C27" s="71"/>
      <c r="D27" s="71"/>
      <c r="E27" s="71"/>
      <c r="F27" s="71"/>
    </row>
    <row r="28" spans="1:6">
      <c r="A28" s="85" t="s">
        <v>66</v>
      </c>
      <c r="B28" s="85"/>
      <c r="C28" s="85"/>
      <c r="D28" s="85" t="s">
        <v>66</v>
      </c>
      <c r="E28" s="85"/>
      <c r="F28" s="85"/>
    </row>
    <row r="29" spans="1:6">
      <c r="A29" s="85"/>
      <c r="B29" s="85"/>
      <c r="C29" s="85"/>
      <c r="D29" s="85"/>
      <c r="E29" s="85"/>
      <c r="F29" s="85"/>
    </row>
  </sheetData>
  <mergeCells count="33">
    <mergeCell ref="A29:C29"/>
    <mergeCell ref="D29:F29"/>
    <mergeCell ref="A25:C25"/>
    <mergeCell ref="D25:F25"/>
    <mergeCell ref="A26:C26"/>
    <mergeCell ref="D26:F26"/>
    <mergeCell ref="A28:C28"/>
    <mergeCell ref="D28:F28"/>
    <mergeCell ref="A20:F20"/>
    <mergeCell ref="A21:F21"/>
    <mergeCell ref="A23:C23"/>
    <mergeCell ref="D23:F23"/>
    <mergeCell ref="A24:C24"/>
    <mergeCell ref="D24:F24"/>
    <mergeCell ref="A19:F19"/>
    <mergeCell ref="A7:F7"/>
    <mergeCell ref="A8:F8"/>
    <mergeCell ref="A9:F9"/>
    <mergeCell ref="A10:A11"/>
    <mergeCell ref="B10:C10"/>
    <mergeCell ref="D10:D11"/>
    <mergeCell ref="E10:F10"/>
    <mergeCell ref="B15:C15"/>
    <mergeCell ref="E15:F15"/>
    <mergeCell ref="B16:C16"/>
    <mergeCell ref="E16:F16"/>
    <mergeCell ref="A18:F18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30 กันยายน 2558(ใหม่)</vt:lpstr>
      <vt:lpstr>15 มิถุนายน 2559(ใหม่)</vt:lpstr>
      <vt:lpstr>Sheet1</vt:lpstr>
      <vt:lpstr>Sheet2</vt:lpstr>
      <vt:lpstr>'15 มิถุนายน 2559(ใหม่)'!Print_Area</vt:lpstr>
      <vt:lpstr>'30 กันยายน 2558(ใหม่)'!Print_Area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adad</cp:lastModifiedBy>
  <cp:lastPrinted>2016-07-27T04:13:18Z</cp:lastPrinted>
  <dcterms:created xsi:type="dcterms:W3CDTF">2016-07-25T02:47:36Z</dcterms:created>
  <dcterms:modified xsi:type="dcterms:W3CDTF">2016-07-27T04:17:43Z</dcterms:modified>
</cp:coreProperties>
</file>